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10_ncr:8100000_{B24B4935-A8B0-4194-945A-69F12E1EDC39}" xr6:coauthVersionLast="33" xr6:coauthVersionMax="33" xr10:uidLastSave="{00000000-0000-0000-0000-000000000000}"/>
  <bookViews>
    <workbookView xWindow="0" yWindow="0" windowWidth="22260" windowHeight="12648" xr2:uid="{00000000-000D-0000-FFFF-FFFF00000000}"/>
  </bookViews>
  <sheets>
    <sheet name="usporedba 5 ugovor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3" l="1"/>
  <c r="R12" i="3" l="1"/>
  <c r="R13" i="3" s="1"/>
  <c r="R14" i="3" s="1"/>
  <c r="R15" i="3" l="1"/>
  <c r="C8" i="3"/>
  <c r="H6" i="3"/>
  <c r="M6" i="3" s="1"/>
  <c r="C9" i="3" l="1"/>
  <c r="C10" i="3"/>
  <c r="C20" i="3"/>
  <c r="C21" i="3" s="1"/>
  <c r="R6" i="3"/>
  <c r="W6" i="3" s="1"/>
  <c r="AA9" i="3" s="1"/>
  <c r="M8" i="3"/>
  <c r="H8" i="3"/>
  <c r="M9" i="3" l="1"/>
  <c r="M10" i="3" s="1"/>
  <c r="H16" i="3"/>
  <c r="H17" i="3" s="1"/>
  <c r="R8" i="3"/>
  <c r="R16" i="3" s="1"/>
  <c r="AA13" i="3" s="1"/>
  <c r="W8" i="3"/>
  <c r="C11" i="3"/>
  <c r="C12" i="3" s="1"/>
  <c r="H10" i="3"/>
  <c r="H9" i="3"/>
  <c r="R11" i="3" l="1"/>
  <c r="W9" i="3"/>
  <c r="W10" i="3" s="1"/>
  <c r="M18" i="3"/>
  <c r="M19" i="3" s="1"/>
  <c r="M12" i="3"/>
  <c r="M11" i="3"/>
  <c r="C14" i="3"/>
  <c r="R17" i="3"/>
  <c r="H11" i="3"/>
  <c r="H12" i="3" s="1"/>
  <c r="C15" i="3" l="1"/>
  <c r="C16" i="3"/>
  <c r="C17" i="3" s="1"/>
  <c r="W16" i="3"/>
  <c r="W17" i="3" s="1"/>
  <c r="W18" i="3" s="1"/>
  <c r="W19" i="3" s="1"/>
  <c r="W11" i="3"/>
  <c r="W13" i="3" s="1"/>
  <c r="H13" i="3"/>
  <c r="M13" i="3"/>
  <c r="M14" i="3" s="1"/>
  <c r="W12" i="3" l="1"/>
  <c r="W14" i="3"/>
  <c r="M15" i="3"/>
  <c r="M16" i="3" s="1"/>
  <c r="C18" i="3"/>
  <c r="C19" i="3" s="1"/>
  <c r="H14" i="3"/>
  <c r="H15" i="3" s="1"/>
  <c r="AA11" i="3" s="1"/>
  <c r="W15" i="3" l="1"/>
  <c r="W20" i="3" s="1"/>
  <c r="W21" i="3" s="1"/>
  <c r="C22" i="3"/>
  <c r="AA10" i="3"/>
  <c r="M17" i="3"/>
  <c r="H18" i="3"/>
  <c r="AA14" i="3" l="1"/>
  <c r="M20" i="3"/>
  <c r="AA12" i="3"/>
</calcChain>
</file>

<file path=xl/sharedStrings.xml><?xml version="1.0" encoding="utf-8"?>
<sst xmlns="http://schemas.openxmlformats.org/spreadsheetml/2006/main" count="143" uniqueCount="99">
  <si>
    <t>BRUTO</t>
  </si>
  <si>
    <t>1. MO 7,5%</t>
  </si>
  <si>
    <t>7,5% od bruto iznosa</t>
  </si>
  <si>
    <t>2,5% od bruto iznosa</t>
  </si>
  <si>
    <t>MIROVINSKO OSIGURANJE ukupno</t>
  </si>
  <si>
    <t>1. MO + 2. MO</t>
  </si>
  <si>
    <t>POREZNA OSNOVICA = DOHODAK</t>
  </si>
  <si>
    <t>bruto - ukupna izdvajanja za mirovinsko osiguranje</t>
  </si>
  <si>
    <t>POREZ 24%</t>
  </si>
  <si>
    <t>24% od porezne osnovice</t>
  </si>
  <si>
    <t>NETO</t>
  </si>
  <si>
    <t>dohodak - ukupno porez - prirez</t>
  </si>
  <si>
    <t>7,5% na bruto</t>
  </si>
  <si>
    <t>bruto + doprinosi na plaću</t>
  </si>
  <si>
    <t>UGOVOR O DJELU</t>
  </si>
  <si>
    <t>2. MO 2,5%</t>
  </si>
  <si>
    <t>IZDATAK 30%</t>
  </si>
  <si>
    <t>30% od bruta</t>
  </si>
  <si>
    <t>OSNOVICA ZA DOPRINOSE:</t>
  </si>
  <si>
    <t>bruto - izdatak</t>
  </si>
  <si>
    <t>7,5% od osnovice za doprinose</t>
  </si>
  <si>
    <t>2,5% od osnovice za doprinose</t>
  </si>
  <si>
    <t>DOHODAK = POREZNA OSNOVICA</t>
  </si>
  <si>
    <t>osnovica za doprinose - izdvajanja za mirovinsko osiguranje</t>
  </si>
  <si>
    <t>dohodak - ukupno porez - prirez + izdatak</t>
  </si>
  <si>
    <t>7,5% na osnovicu za doprinose</t>
  </si>
  <si>
    <t>AUTORSKI UGOVOR</t>
  </si>
  <si>
    <t>93,02325% od ukupnog iznosa</t>
  </si>
  <si>
    <t>95,01188% od ukupnog iznosa</t>
  </si>
  <si>
    <t>2. MO 5%</t>
  </si>
  <si>
    <t>Doprinos za zdravstveno osiguranje</t>
  </si>
  <si>
    <t>37,2% od osnovice za doprinose</t>
  </si>
  <si>
    <t>1. kategorija</t>
  </si>
  <si>
    <t>2. kategorija</t>
  </si>
  <si>
    <t>3. kategorija</t>
  </si>
  <si>
    <t>4. kategorija</t>
  </si>
  <si>
    <t>5. kategorija</t>
  </si>
  <si>
    <t>Osnovica za porez = godišnji paušalni dohodak</t>
  </si>
  <si>
    <t>godišnji primitci do</t>
  </si>
  <si>
    <t>UKUPNO MJESEČNI DOPRINOSI</t>
  </si>
  <si>
    <t>GODIŠNJI PAUŠALNI POREZ</t>
  </si>
  <si>
    <t>12% godišnjeg paušalnog dohotka</t>
  </si>
  <si>
    <t>UKUPNO NAPLAĆENI PRIMITAK</t>
  </si>
  <si>
    <t>ukupni primitak - ukupni godišnji doprinosi - porez - prirez</t>
  </si>
  <si>
    <t>OSOBNI ODBITAK</t>
  </si>
  <si>
    <t>0,4*prosječna mjesečna bruto plaća u 2017.</t>
  </si>
  <si>
    <t>15% od gornje granice primitka</t>
  </si>
  <si>
    <t>17,5% od osnovice za doprinose</t>
  </si>
  <si>
    <t>BRUTO iznos</t>
  </si>
  <si>
    <t>1. MO 15%</t>
  </si>
  <si>
    <t>15% od bruto iznosa</t>
  </si>
  <si>
    <t>5% od bruto iznosa</t>
  </si>
  <si>
    <t>DOHODAK</t>
  </si>
  <si>
    <t>POREZNA OSNOVICA</t>
  </si>
  <si>
    <t>dohodak - osobni odbitak</t>
  </si>
  <si>
    <t>24% na iznos do 17.500 kn porezne osnovice</t>
  </si>
  <si>
    <t>POREZ 36%</t>
  </si>
  <si>
    <t>36% na iznos veći od 17.500 kn porezne osnovice</t>
  </si>
  <si>
    <t>UKUPNI POREZ</t>
  </si>
  <si>
    <t>85,32423% od ukupnog iznosa</t>
  </si>
  <si>
    <t>UGOVOR O RADU</t>
  </si>
  <si>
    <t>DOPRINOSI NA PLAĆU 17,2%</t>
  </si>
  <si>
    <t>17,2% na bruto</t>
  </si>
  <si>
    <t>PRIREZ 18%</t>
  </si>
  <si>
    <t>18% od ukupnog poreza</t>
  </si>
  <si>
    <t>DOPRINOSI NA BRUTO IZNOS 7,5%</t>
  </si>
  <si>
    <t>DOPRINOSI NA BRUTO 7,5%</t>
  </si>
  <si>
    <t>MJESEČNI IZNOS POREZA I PRIREZA</t>
  </si>
  <si>
    <t>1/12 ukupno uplaćenog poreza i prireza</t>
  </si>
  <si>
    <t>GODIŠNJI PRIREZ 18%</t>
  </si>
  <si>
    <t>UKUPNI MJESEČNI NETO PRIMITAK</t>
  </si>
  <si>
    <t>18% od iznosa poreza</t>
  </si>
  <si>
    <t>PAUŠALNI OBRT (bez ugovora o radu)</t>
  </si>
  <si>
    <t>Godišnja osnovica za doprinose u 2018.</t>
  </si>
  <si>
    <t>Mjesečna osnovica za doprinose u 2018.</t>
  </si>
  <si>
    <t>1/12 godišnje osnovice za doprinose</t>
  </si>
  <si>
    <t>godišnja osnovica za porez = godišnji paušalni dohodak</t>
  </si>
  <si>
    <t>Mjesečni paušalni porez</t>
  </si>
  <si>
    <t>1/12 godišnjeg paušalnog poreza</t>
  </si>
  <si>
    <t>MJESEČNI PRIREZ 18%</t>
  </si>
  <si>
    <t>PAUŠALNI OBRT (uz ugovor o radu)</t>
  </si>
  <si>
    <t>postotak primitka</t>
  </si>
  <si>
    <t>neto/ukupni trošak poslodavca (%)</t>
  </si>
  <si>
    <t>neto/ukupno naplaćeni primitak</t>
  </si>
  <si>
    <t>neto/ukupni trošak naručitelja (%)</t>
  </si>
  <si>
    <t>Gornja granica primitka</t>
  </si>
  <si>
    <t>1.  MO 7,5%</t>
  </si>
  <si>
    <t>ukupan trošak poslodavca/naručitelja</t>
  </si>
  <si>
    <t>Neto 1 ugovor o radu</t>
  </si>
  <si>
    <t>Neto 3 autorski ugovor</t>
  </si>
  <si>
    <t>Neto 4 paušalni obrt</t>
  </si>
  <si>
    <t>Neto 5 paušalni obrt uz ugovor o radu</t>
  </si>
  <si>
    <t>Neto 2 ugovor o djelu</t>
  </si>
  <si>
    <t>ukupan trošak poslodavca (bruto 2)</t>
  </si>
  <si>
    <t>ukupan trošak naručitelja (bruto 2)</t>
  </si>
  <si>
    <t>Ukupan trošak poslodavca</t>
  </si>
  <si>
    <t>Ukupan trošak naručitelja</t>
  </si>
  <si>
    <t>UKUPAN MJESEČNI NETO PRIMITAK</t>
  </si>
  <si>
    <t>Poslodavac/naručitelj je spreman platiti za obavljeni posao ukupno 7.000,00 kn mjesečno. Usporedite 5 osoba koje bi taj posao odradile: jedna ima ugovor o radu,  ostale 4 preko: ugovora o djelu, autorskog ugovora, paušalnog obrta (nema drugi stalni posao) i paušalnog obrta (ima drugi stalni posao). Koliko bi od tog iznosa dobile svaka od 5 navedenih osobe? Svih 5 osoba žive u Zagrebu i nemaju djecu.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</si>
</sst>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/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0" fillId="0" borderId="0" xfId="1" applyFont="1"/>
    <xf numFmtId="44" fontId="0" fillId="0" borderId="2" xfId="1" applyFont="1" applyBorder="1"/>
    <xf numFmtId="44" fontId="0" fillId="0" borderId="3" xfId="1" applyFont="1" applyBorder="1"/>
    <xf numFmtId="0" fontId="2" fillId="0" borderId="0" xfId="0" applyFont="1"/>
    <xf numFmtId="44" fontId="0" fillId="0" borderId="3" xfId="0" applyNumberFormat="1" applyBorder="1"/>
    <xf numFmtId="44" fontId="0" fillId="2" borderId="3" xfId="1" applyFont="1" applyFill="1" applyBorder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44" fontId="0" fillId="2" borderId="3" xfId="0" applyNumberFormat="1" applyFill="1" applyBorder="1"/>
    <xf numFmtId="44" fontId="0" fillId="0" borderId="0" xfId="0" applyNumberFormat="1" applyBorder="1"/>
    <xf numFmtId="44" fontId="0" fillId="0" borderId="0" xfId="1" applyFont="1" applyBorder="1"/>
    <xf numFmtId="8" fontId="0" fillId="0" borderId="3" xfId="0" applyNumberFormat="1" applyBorder="1"/>
    <xf numFmtId="44" fontId="0" fillId="0" borderId="0" xfId="1" applyFont="1" applyFill="1" applyBorder="1"/>
    <xf numFmtId="8" fontId="0" fillId="0" borderId="3" xfId="0" applyNumberFormat="1" applyBorder="1" applyAlignment="1">
      <alignment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5" fontId="6" fillId="0" borderId="3" xfId="2" applyNumberFormat="1" applyFont="1" applyFill="1" applyBorder="1" applyAlignment="1">
      <alignment horizontal="center" vertical="center"/>
    </xf>
    <xf numFmtId="0" fontId="5" fillId="0" borderId="3" xfId="2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4" fontId="6" fillId="0" borderId="2" xfId="1" applyFont="1" applyFill="1" applyBorder="1" applyAlignment="1">
      <alignment horizontal="center" vertical="center"/>
    </xf>
    <xf numFmtId="44" fontId="6" fillId="0" borderId="3" xfId="1" applyFont="1" applyFill="1" applyBorder="1" applyAlignment="1">
      <alignment horizontal="center" vertical="center"/>
    </xf>
    <xf numFmtId="44" fontId="6" fillId="2" borderId="3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0" fontId="0" fillId="0" borderId="3" xfId="3" applyNumberFormat="1" applyFont="1" applyBorder="1"/>
    <xf numFmtId="0" fontId="0" fillId="0" borderId="0" xfId="0" applyAlignment="1">
      <alignment horizontal="left" wrapText="1"/>
    </xf>
    <xf numFmtId="44" fontId="0" fillId="0" borderId="0" xfId="0" applyNumberFormat="1"/>
  </cellXfs>
  <cellStyles count="4">
    <cellStyle name="Hiperveza" xfId="2" builtinId="8"/>
    <cellStyle name="Normalno" xfId="0" builtinId="0"/>
    <cellStyle name="Postotak" xfId="3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018F-8A44-4586-9F58-B31955DFD992}">
  <dimension ref="A1:AA26"/>
  <sheetViews>
    <sheetView tabSelected="1" workbookViewId="0">
      <selection sqref="A1:G4"/>
    </sheetView>
  </sheetViews>
  <sheetFormatPr defaultRowHeight="14.4" x14ac:dyDescent="0.3"/>
  <cols>
    <col min="1" max="1" width="17.44140625" customWidth="1"/>
    <col min="2" max="2" width="23.109375" customWidth="1"/>
    <col min="3" max="3" width="13.77734375" bestFit="1" customWidth="1"/>
    <col min="6" max="6" width="24" customWidth="1"/>
    <col min="7" max="7" width="20.5546875" customWidth="1"/>
    <col min="8" max="8" width="13.77734375" customWidth="1"/>
    <col min="10" max="10" width="18.77734375" customWidth="1"/>
    <col min="11" max="11" width="21.109375" customWidth="1"/>
    <col min="12" max="12" width="20.5546875" customWidth="1"/>
    <col min="13" max="13" width="13.77734375" bestFit="1" customWidth="1"/>
    <col min="14" max="14" width="11.109375" bestFit="1" customWidth="1"/>
    <col min="15" max="15" width="16.33203125" bestFit="1" customWidth="1"/>
    <col min="16" max="16" width="18.88671875" customWidth="1"/>
    <col min="17" max="17" width="20.77734375" customWidth="1"/>
    <col min="18" max="18" width="13.77734375" bestFit="1" customWidth="1"/>
    <col min="21" max="21" width="18" customWidth="1"/>
    <col min="22" max="22" width="21.5546875" customWidth="1"/>
    <col min="23" max="23" width="14" customWidth="1"/>
    <col min="25" max="25" width="11.109375" bestFit="1" customWidth="1"/>
    <col min="26" max="26" width="21.21875" customWidth="1"/>
    <col min="27" max="27" width="16.77734375" customWidth="1"/>
  </cols>
  <sheetData>
    <row r="1" spans="1:27" ht="14.4" customHeight="1" x14ac:dyDescent="0.3">
      <c r="A1" s="35" t="s">
        <v>98</v>
      </c>
      <c r="B1" s="35"/>
      <c r="C1" s="35"/>
      <c r="D1" s="35"/>
      <c r="E1" s="35"/>
      <c r="F1" s="35"/>
      <c r="G1" s="35"/>
      <c r="H1" s="14"/>
      <c r="I1" s="14"/>
      <c r="J1" s="14"/>
      <c r="K1" s="14"/>
      <c r="L1" s="14"/>
    </row>
    <row r="2" spans="1:27" x14ac:dyDescent="0.3">
      <c r="A2" s="35"/>
      <c r="B2" s="35"/>
      <c r="C2" s="35"/>
      <c r="D2" s="35"/>
      <c r="E2" s="35"/>
      <c r="F2" s="35"/>
      <c r="G2" s="35"/>
      <c r="H2" s="14"/>
      <c r="I2" s="14"/>
      <c r="J2" s="14"/>
      <c r="K2" s="14"/>
      <c r="L2" s="14"/>
      <c r="Z2" s="5"/>
      <c r="AA2" s="5" t="s">
        <v>38</v>
      </c>
    </row>
    <row r="3" spans="1:27" x14ac:dyDescent="0.3">
      <c r="A3" s="35"/>
      <c r="B3" s="35"/>
      <c r="C3" s="35"/>
      <c r="D3" s="35"/>
      <c r="E3" s="35"/>
      <c r="F3" s="35"/>
      <c r="G3" s="35"/>
      <c r="H3" s="14"/>
      <c r="I3" s="14"/>
      <c r="J3" s="14"/>
      <c r="K3" s="14"/>
      <c r="L3" s="14"/>
      <c r="Z3" s="5" t="s">
        <v>32</v>
      </c>
      <c r="AA3" s="10">
        <v>85000</v>
      </c>
    </row>
    <row r="4" spans="1:27" x14ac:dyDescent="0.3">
      <c r="A4" s="35"/>
      <c r="B4" s="35"/>
      <c r="C4" s="35"/>
      <c r="D4" s="35"/>
      <c r="E4" s="35"/>
      <c r="F4" s="35"/>
      <c r="G4" s="35"/>
      <c r="H4" s="22"/>
      <c r="I4" s="22"/>
      <c r="J4" s="22"/>
      <c r="K4" s="22"/>
      <c r="L4" s="22"/>
      <c r="Z4" s="5" t="s">
        <v>33</v>
      </c>
      <c r="AA4" s="10">
        <v>115000</v>
      </c>
    </row>
    <row r="5" spans="1:27" x14ac:dyDescent="0.3">
      <c r="A5" s="11" t="s">
        <v>60</v>
      </c>
      <c r="F5" s="11" t="s">
        <v>14</v>
      </c>
      <c r="K5" s="11" t="s">
        <v>26</v>
      </c>
      <c r="P5" s="11" t="s">
        <v>72</v>
      </c>
      <c r="U5" s="11" t="s">
        <v>80</v>
      </c>
      <c r="Z5" s="5" t="s">
        <v>34</v>
      </c>
      <c r="AA5" s="10">
        <v>149500</v>
      </c>
    </row>
    <row r="6" spans="1:27" x14ac:dyDescent="0.3">
      <c r="A6" t="s">
        <v>95</v>
      </c>
      <c r="C6" s="8">
        <v>7000</v>
      </c>
      <c r="F6" t="s">
        <v>96</v>
      </c>
      <c r="H6" s="8">
        <f>C6</f>
        <v>7000</v>
      </c>
      <c r="K6" t="s">
        <v>96</v>
      </c>
      <c r="M6" s="8">
        <f>H6</f>
        <v>7000</v>
      </c>
      <c r="N6" s="8"/>
      <c r="P6" t="s">
        <v>96</v>
      </c>
      <c r="R6" s="8">
        <f>M6</f>
        <v>7000</v>
      </c>
      <c r="U6" t="s">
        <v>96</v>
      </c>
      <c r="W6" s="8">
        <f>R6</f>
        <v>7000</v>
      </c>
      <c r="Z6" s="5" t="s">
        <v>35</v>
      </c>
      <c r="AA6" s="10">
        <v>230000</v>
      </c>
    </row>
    <row r="7" spans="1:27" ht="15" thickBot="1" x14ac:dyDescent="0.35">
      <c r="F7" s="1"/>
      <c r="G7" s="1"/>
      <c r="H7" s="1"/>
      <c r="Z7" s="5" t="s">
        <v>36</v>
      </c>
      <c r="AA7" s="10">
        <v>300000</v>
      </c>
    </row>
    <row r="8" spans="1:27" ht="43.8" thickBot="1" x14ac:dyDescent="0.35">
      <c r="A8" s="23" t="s">
        <v>48</v>
      </c>
      <c r="B8" s="28" t="s">
        <v>59</v>
      </c>
      <c r="C8" s="24">
        <f>85.32423%*C6</f>
        <v>5972.6961000000001</v>
      </c>
      <c r="F8" s="2" t="s">
        <v>0</v>
      </c>
      <c r="G8" s="7" t="s">
        <v>27</v>
      </c>
      <c r="H8" s="9">
        <f>93.02325%*H6</f>
        <v>6511.6275000000005</v>
      </c>
      <c r="K8" s="3" t="s">
        <v>0</v>
      </c>
      <c r="L8" s="4" t="s">
        <v>28</v>
      </c>
      <c r="M8" s="12">
        <f>95.01188%*M6</f>
        <v>6650.8316000000004</v>
      </c>
      <c r="N8" s="17"/>
      <c r="P8" s="15" t="s">
        <v>42</v>
      </c>
      <c r="Q8" s="5"/>
      <c r="R8" s="12">
        <f>R6</f>
        <v>7000</v>
      </c>
      <c r="U8" s="15" t="s">
        <v>42</v>
      </c>
      <c r="V8" s="5"/>
      <c r="W8" s="12">
        <f>W6</f>
        <v>7000</v>
      </c>
    </row>
    <row r="9" spans="1:27" ht="28.8" x14ac:dyDescent="0.3">
      <c r="A9" s="25" t="s">
        <v>49</v>
      </c>
      <c r="B9" s="7" t="s">
        <v>50</v>
      </c>
      <c r="C9" s="29">
        <f>15%*C8</f>
        <v>895.90441499999997</v>
      </c>
      <c r="F9" s="3" t="s">
        <v>1</v>
      </c>
      <c r="G9" s="4" t="s">
        <v>2</v>
      </c>
      <c r="H9" s="10">
        <f>H8*0.075</f>
        <v>488.37206250000003</v>
      </c>
      <c r="K9" s="4" t="s">
        <v>16</v>
      </c>
      <c r="L9" s="4" t="s">
        <v>17</v>
      </c>
      <c r="M9" s="10">
        <f>30%*M8</f>
        <v>1995.2494799999999</v>
      </c>
      <c r="N9" s="18"/>
      <c r="P9" s="15" t="s">
        <v>74</v>
      </c>
      <c r="Q9" s="21" t="s">
        <v>45</v>
      </c>
      <c r="R9" s="19">
        <v>3208</v>
      </c>
      <c r="U9" s="15" t="s">
        <v>85</v>
      </c>
      <c r="V9" s="5"/>
      <c r="W9" s="12">
        <f>IF(W8*12&lt;=AA3,AA3,IF(W8*12&lt;=AA4,AA4,IF(W8*12&lt;=AA5,AA5,IF(W8*12&lt;=AA6,AA6,AA7))))</f>
        <v>85000</v>
      </c>
      <c r="Z9" s="15" t="s">
        <v>87</v>
      </c>
      <c r="AA9" s="12">
        <f>W6</f>
        <v>7000</v>
      </c>
    </row>
    <row r="10" spans="1:27" ht="28.8" x14ac:dyDescent="0.3">
      <c r="A10" s="6" t="s">
        <v>29</v>
      </c>
      <c r="B10" s="4" t="s">
        <v>51</v>
      </c>
      <c r="C10" s="26">
        <f>5%*C8</f>
        <v>298.63480500000003</v>
      </c>
      <c r="F10" s="3" t="s">
        <v>15</v>
      </c>
      <c r="G10" s="4" t="s">
        <v>3</v>
      </c>
      <c r="H10" s="10">
        <f>H8*0.025</f>
        <v>162.79068750000002</v>
      </c>
      <c r="K10" s="4" t="s">
        <v>18</v>
      </c>
      <c r="L10" s="4" t="s">
        <v>19</v>
      </c>
      <c r="M10" s="10">
        <f>M8-M9</f>
        <v>4655.5821200000009</v>
      </c>
      <c r="N10" s="18"/>
      <c r="P10" s="15" t="s">
        <v>39</v>
      </c>
      <c r="Q10" s="15" t="s">
        <v>31</v>
      </c>
      <c r="R10" s="19">
        <f>37.2%*R9</f>
        <v>1193.3760000000002</v>
      </c>
      <c r="U10" s="15" t="s">
        <v>73</v>
      </c>
      <c r="V10" s="15" t="s">
        <v>46</v>
      </c>
      <c r="W10" s="19">
        <f>15%*W9</f>
        <v>12750</v>
      </c>
      <c r="Z10" s="5" t="s">
        <v>88</v>
      </c>
      <c r="AA10" s="12">
        <f>C19</f>
        <v>4501.1428515839998</v>
      </c>
    </row>
    <row r="11" spans="1:27" ht="43.2" x14ac:dyDescent="0.3">
      <c r="A11" s="6" t="s">
        <v>4</v>
      </c>
      <c r="B11" s="3" t="s">
        <v>5</v>
      </c>
      <c r="C11" s="26">
        <f>SUM(C9:C10)</f>
        <v>1194.5392200000001</v>
      </c>
      <c r="F11" s="6" t="s">
        <v>4</v>
      </c>
      <c r="G11" s="3" t="s">
        <v>5</v>
      </c>
      <c r="H11" s="10">
        <f>H9+H10</f>
        <v>651.16275000000007</v>
      </c>
      <c r="K11" s="4" t="s">
        <v>1</v>
      </c>
      <c r="L11" s="4" t="s">
        <v>20</v>
      </c>
      <c r="M11" s="10">
        <f>7.5%*M10</f>
        <v>349.16865900000005</v>
      </c>
      <c r="N11" s="18"/>
      <c r="P11" s="15" t="s">
        <v>85</v>
      </c>
      <c r="Q11" s="5"/>
      <c r="R11" s="19">
        <f>IF(W8*12&lt;=AA3,AA3,IF(W8*12&lt;=AA4,AA4,IF(W8*12&lt;=AA5,AA5,IF(W8*12&lt;=AA6,AA6,AA7))))</f>
        <v>85000</v>
      </c>
      <c r="U11" s="15" t="s">
        <v>74</v>
      </c>
      <c r="V11" s="15" t="s">
        <v>75</v>
      </c>
      <c r="W11" s="19">
        <f>1/12*W10</f>
        <v>1062.5</v>
      </c>
      <c r="Z11" s="5" t="s">
        <v>92</v>
      </c>
      <c r="AA11" s="12">
        <f>H15</f>
        <v>4200.7811327999998</v>
      </c>
    </row>
    <row r="12" spans="1:27" ht="43.2" x14ac:dyDescent="0.3">
      <c r="A12" s="6" t="s">
        <v>52</v>
      </c>
      <c r="B12" s="4" t="s">
        <v>7</v>
      </c>
      <c r="C12" s="30">
        <f>C8-C11</f>
        <v>4778.1568800000005</v>
      </c>
      <c r="F12" s="4" t="s">
        <v>6</v>
      </c>
      <c r="G12" s="4" t="s">
        <v>7</v>
      </c>
      <c r="H12" s="10">
        <f>H8-H11</f>
        <v>5860.4647500000001</v>
      </c>
      <c r="K12" s="4" t="s">
        <v>15</v>
      </c>
      <c r="L12" s="4" t="s">
        <v>21</v>
      </c>
      <c r="M12" s="10">
        <f>2.5%*M10</f>
        <v>116.38955300000003</v>
      </c>
      <c r="N12" s="18"/>
      <c r="P12" s="15" t="s">
        <v>37</v>
      </c>
      <c r="Q12" s="15" t="s">
        <v>46</v>
      </c>
      <c r="R12" s="12">
        <f>15%*AA3</f>
        <v>12750</v>
      </c>
      <c r="U12" s="5" t="s">
        <v>86</v>
      </c>
      <c r="V12" s="15" t="s">
        <v>20</v>
      </c>
      <c r="W12" s="19">
        <f>7.5%*W11</f>
        <v>79.6875</v>
      </c>
      <c r="Z12" s="5" t="s">
        <v>89</v>
      </c>
      <c r="AA12" s="12">
        <f>M17</f>
        <v>4998.6586172544012</v>
      </c>
    </row>
    <row r="13" spans="1:27" ht="28.8" x14ac:dyDescent="0.3">
      <c r="A13" s="6" t="s">
        <v>44</v>
      </c>
      <c r="B13" s="27"/>
      <c r="C13" s="30">
        <v>3800</v>
      </c>
      <c r="F13" s="3" t="s">
        <v>8</v>
      </c>
      <c r="G13" s="4" t="s">
        <v>9</v>
      </c>
      <c r="H13" s="10">
        <f>H12*0.24</f>
        <v>1406.51154</v>
      </c>
      <c r="K13" s="6" t="s">
        <v>4</v>
      </c>
      <c r="L13" s="4" t="s">
        <v>5</v>
      </c>
      <c r="M13" s="10">
        <f>M11+M12</f>
        <v>465.55821200000008</v>
      </c>
      <c r="N13" s="18"/>
      <c r="P13" s="15" t="s">
        <v>40</v>
      </c>
      <c r="Q13" s="15" t="s">
        <v>41</v>
      </c>
      <c r="R13" s="12">
        <f>12%*R12</f>
        <v>1530</v>
      </c>
      <c r="U13" s="5" t="s">
        <v>15</v>
      </c>
      <c r="V13" s="15" t="s">
        <v>21</v>
      </c>
      <c r="W13" s="19">
        <f>2.5%*W11</f>
        <v>26.5625</v>
      </c>
      <c r="Z13" s="5" t="s">
        <v>90</v>
      </c>
      <c r="AA13" s="12">
        <f>R16</f>
        <v>5656.174</v>
      </c>
    </row>
    <row r="14" spans="1:27" ht="43.2" x14ac:dyDescent="0.3">
      <c r="A14" s="6" t="s">
        <v>53</v>
      </c>
      <c r="B14" s="4" t="s">
        <v>54</v>
      </c>
      <c r="C14" s="30">
        <f>MAX(C12-C13,0)</f>
        <v>978.15688000000046</v>
      </c>
      <c r="F14" s="6" t="s">
        <v>63</v>
      </c>
      <c r="G14" s="4" t="s">
        <v>64</v>
      </c>
      <c r="H14" s="30">
        <f>H13*0.18</f>
        <v>253.17207719999999</v>
      </c>
      <c r="K14" s="4" t="s">
        <v>22</v>
      </c>
      <c r="L14" s="4" t="s">
        <v>23</v>
      </c>
      <c r="M14" s="10">
        <f>M10-M13</f>
        <v>4190.023908000001</v>
      </c>
      <c r="N14" s="18"/>
      <c r="P14" s="6" t="s">
        <v>69</v>
      </c>
      <c r="Q14" s="4" t="s">
        <v>64</v>
      </c>
      <c r="R14" s="30">
        <f>R13*0.18</f>
        <v>275.39999999999998</v>
      </c>
      <c r="U14" s="15" t="s">
        <v>30</v>
      </c>
      <c r="V14" s="15" t="s">
        <v>20</v>
      </c>
      <c r="W14" s="19">
        <f>7.5%*W11</f>
        <v>79.6875</v>
      </c>
      <c r="Z14" s="15" t="s">
        <v>91</v>
      </c>
      <c r="AA14" s="12">
        <f>W20</f>
        <v>6663.6125000000002</v>
      </c>
    </row>
    <row r="15" spans="1:27" ht="28.8" x14ac:dyDescent="0.3">
      <c r="A15" s="6" t="s">
        <v>8</v>
      </c>
      <c r="B15" s="4" t="s">
        <v>55</v>
      </c>
      <c r="C15" s="30">
        <f>IF(C14&lt;17500,C14*24%,17500*24%)</f>
        <v>234.75765120000011</v>
      </c>
      <c r="F15" s="3" t="s">
        <v>10</v>
      </c>
      <c r="G15" s="4" t="s">
        <v>11</v>
      </c>
      <c r="H15" s="13">
        <f>H12-H13-H14</f>
        <v>4200.7811327999998</v>
      </c>
      <c r="K15" s="4" t="s">
        <v>8</v>
      </c>
      <c r="L15" s="4" t="s">
        <v>9</v>
      </c>
      <c r="M15" s="10">
        <f>24%*M14</f>
        <v>1005.6057379200003</v>
      </c>
      <c r="N15" s="18"/>
      <c r="P15" s="6" t="s">
        <v>67</v>
      </c>
      <c r="Q15" s="4" t="s">
        <v>68</v>
      </c>
      <c r="R15" s="30">
        <f>1/12*(R13+R14)</f>
        <v>150.44999999999999</v>
      </c>
      <c r="U15" s="15" t="s">
        <v>39</v>
      </c>
      <c r="V15" s="15" t="s">
        <v>47</v>
      </c>
      <c r="W15" s="19">
        <f>SUM(W12:W14)</f>
        <v>185.9375</v>
      </c>
    </row>
    <row r="16" spans="1:27" ht="43.2" x14ac:dyDescent="0.3">
      <c r="A16" s="6" t="s">
        <v>56</v>
      </c>
      <c r="B16" s="4" t="s">
        <v>57</v>
      </c>
      <c r="C16" s="30">
        <f>IF(C14&lt;17500,0,(C14-17500)*0.36)</f>
        <v>0</v>
      </c>
      <c r="F16" s="4" t="s">
        <v>65</v>
      </c>
      <c r="G16" s="4" t="s">
        <v>12</v>
      </c>
      <c r="H16" s="10">
        <f>H8*0.075</f>
        <v>488.37206250000003</v>
      </c>
      <c r="K16" s="6" t="s">
        <v>63</v>
      </c>
      <c r="L16" s="4" t="s">
        <v>64</v>
      </c>
      <c r="M16" s="30">
        <f>M15*0.18</f>
        <v>181.00903282560003</v>
      </c>
      <c r="N16" s="18"/>
      <c r="P16" s="15" t="s">
        <v>70</v>
      </c>
      <c r="Q16" s="15" t="s">
        <v>43</v>
      </c>
      <c r="R16" s="16">
        <f>R8-R10-R15</f>
        <v>5656.174</v>
      </c>
      <c r="U16" s="15" t="s">
        <v>76</v>
      </c>
      <c r="V16" s="15" t="s">
        <v>46</v>
      </c>
      <c r="W16" s="19">
        <f>W10</f>
        <v>12750</v>
      </c>
    </row>
    <row r="17" spans="1:23" ht="28.8" x14ac:dyDescent="0.3">
      <c r="A17" s="6" t="s">
        <v>58</v>
      </c>
      <c r="B17" s="3"/>
      <c r="C17" s="30">
        <f>SUM(C15:C16)</f>
        <v>234.75765120000011</v>
      </c>
      <c r="F17" s="6" t="s">
        <v>94</v>
      </c>
      <c r="G17" s="4" t="s">
        <v>13</v>
      </c>
      <c r="H17" s="10">
        <f>H8+H16</f>
        <v>6999.9995625000001</v>
      </c>
      <c r="K17" s="4" t="s">
        <v>10</v>
      </c>
      <c r="L17" s="4" t="s">
        <v>24</v>
      </c>
      <c r="M17" s="13">
        <f>M14-M15-M16+M9</f>
        <v>4998.6586172544012</v>
      </c>
      <c r="N17" s="20"/>
      <c r="P17" s="32" t="s">
        <v>81</v>
      </c>
      <c r="Q17" s="33" t="s">
        <v>83</v>
      </c>
      <c r="R17" s="34">
        <f>R16/R8</f>
        <v>0.8080248571428571</v>
      </c>
      <c r="U17" s="15" t="s">
        <v>40</v>
      </c>
      <c r="V17" s="15" t="s">
        <v>41</v>
      </c>
      <c r="W17" s="12">
        <f>12%*W16</f>
        <v>1530</v>
      </c>
    </row>
    <row r="18" spans="1:23" ht="28.8" x14ac:dyDescent="0.3">
      <c r="A18" s="6" t="s">
        <v>63</v>
      </c>
      <c r="B18" s="4" t="s">
        <v>64</v>
      </c>
      <c r="C18" s="30">
        <f>C17*0.18</f>
        <v>42.256377216000018</v>
      </c>
      <c r="F18" s="32" t="s">
        <v>81</v>
      </c>
      <c r="G18" s="33" t="s">
        <v>84</v>
      </c>
      <c r="H18" s="34">
        <f>H15/H17</f>
        <v>0.6001116279069767</v>
      </c>
      <c r="K18" s="4" t="s">
        <v>66</v>
      </c>
      <c r="L18" s="4" t="s">
        <v>25</v>
      </c>
      <c r="M18" s="10">
        <f>7.5%*M10</f>
        <v>349.16865900000005</v>
      </c>
      <c r="N18" s="18"/>
      <c r="U18" s="15" t="s">
        <v>77</v>
      </c>
      <c r="V18" s="15" t="s">
        <v>78</v>
      </c>
      <c r="W18" s="12">
        <f>1/12*W17</f>
        <v>127.5</v>
      </c>
    </row>
    <row r="19" spans="1:23" ht="28.8" x14ac:dyDescent="0.3">
      <c r="A19" s="6" t="s">
        <v>10</v>
      </c>
      <c r="B19" s="4" t="s">
        <v>11</v>
      </c>
      <c r="C19" s="31">
        <f>C12-C17-C18</f>
        <v>4501.1428515839998</v>
      </c>
      <c r="K19" s="6" t="s">
        <v>94</v>
      </c>
      <c r="L19" s="4" t="s">
        <v>13</v>
      </c>
      <c r="M19" s="12">
        <f>M8+M18</f>
        <v>7000.0002590000004</v>
      </c>
      <c r="N19" s="17"/>
      <c r="U19" s="4" t="s">
        <v>79</v>
      </c>
      <c r="V19" s="4" t="s">
        <v>71</v>
      </c>
      <c r="W19" s="10">
        <f>18%*W18</f>
        <v>22.95</v>
      </c>
    </row>
    <row r="20" spans="1:23" ht="43.2" x14ac:dyDescent="0.3">
      <c r="A20" s="6" t="s">
        <v>61</v>
      </c>
      <c r="B20" s="4" t="s">
        <v>62</v>
      </c>
      <c r="C20" s="26">
        <f>C8*0.172</f>
        <v>1027.3037291999999</v>
      </c>
      <c r="K20" s="32" t="s">
        <v>81</v>
      </c>
      <c r="L20" s="33" t="s">
        <v>84</v>
      </c>
      <c r="M20" s="34">
        <f>M17/M19</f>
        <v>0.71409406175771983</v>
      </c>
      <c r="U20" s="15" t="s">
        <v>97</v>
      </c>
      <c r="V20" s="15" t="s">
        <v>43</v>
      </c>
      <c r="W20" s="16">
        <f>W8-W15-W18-W19</f>
        <v>6663.6125000000002</v>
      </c>
    </row>
    <row r="21" spans="1:23" ht="43.2" x14ac:dyDescent="0.3">
      <c r="A21" s="6" t="s">
        <v>93</v>
      </c>
      <c r="B21" s="4" t="s">
        <v>13</v>
      </c>
      <c r="C21" s="26">
        <f>C8+C20</f>
        <v>6999.9998292</v>
      </c>
      <c r="U21" s="32" t="s">
        <v>81</v>
      </c>
      <c r="V21" s="33" t="s">
        <v>83</v>
      </c>
      <c r="W21" s="34">
        <f>W20/W8</f>
        <v>0.95194464285714286</v>
      </c>
    </row>
    <row r="22" spans="1:23" ht="28.8" x14ac:dyDescent="0.3">
      <c r="A22" s="32" t="s">
        <v>81</v>
      </c>
      <c r="B22" s="33" t="s">
        <v>82</v>
      </c>
      <c r="C22" s="34">
        <f>C19/C21</f>
        <v>0.64302042305884111</v>
      </c>
    </row>
    <row r="23" spans="1:23" x14ac:dyDescent="0.3">
      <c r="G23" s="14"/>
    </row>
    <row r="25" spans="1:23" x14ac:dyDescent="0.3">
      <c r="C25" s="36"/>
    </row>
    <row r="26" spans="1:23" x14ac:dyDescent="0.3">
      <c r="C26" s="36"/>
    </row>
  </sheetData>
  <mergeCells count="1">
    <mergeCell ref="A1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usporedba 5 ugovora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2018-07-08T07:24:29Z</dcterms:modified>
</cp:coreProperties>
</file>