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i.milun\Documents\novi stik\postdiplomski i znanstveni radovi\2018 kongres nastavnika matematike\"/>
    </mc:Choice>
  </mc:AlternateContent>
  <xr:revisionPtr revIDLastSave="0" documentId="10_ncr:8100000_{3B84CF01-4D04-48BB-BD12-27C0C6B64F5B}" xr6:coauthVersionLast="33" xr6:coauthVersionMax="33" xr10:uidLastSave="{00000000-0000-0000-0000-000000000000}"/>
  <bookViews>
    <workbookView xWindow="0" yWindow="0" windowWidth="16392" windowHeight="5040" tabRatio="899" xr2:uid="{00000000-000D-0000-FFFF-FFFF00000000}"/>
  </bookViews>
  <sheets>
    <sheet name="zad 1a" sheetId="17" r:id="rId1"/>
    <sheet name="tablica osobnih odbitaka" sheetId="18" r:id="rId2"/>
    <sheet name="zad 1b" sheetId="14" r:id="rId3"/>
    <sheet name="zad 2" sheetId="7" r:id="rId4"/>
  </sheets>
  <calcPr calcId="162913"/>
</workbook>
</file>

<file path=xl/calcChain.xml><?xml version="1.0" encoding="utf-8"?>
<calcChain xmlns="http://schemas.openxmlformats.org/spreadsheetml/2006/main">
  <c r="L9" i="7" l="1"/>
  <c r="J12" i="7"/>
  <c r="I21" i="7"/>
  <c r="J20" i="7"/>
  <c r="J21" i="7" s="1"/>
  <c r="I20" i="7"/>
  <c r="J9" i="7"/>
  <c r="I9" i="7"/>
  <c r="J8" i="7"/>
  <c r="J10" i="7" s="1"/>
  <c r="J11" i="7" s="1"/>
  <c r="I8" i="7"/>
  <c r="I10" i="7" s="1"/>
  <c r="I11" i="7" s="1"/>
  <c r="F13" i="7"/>
  <c r="F12" i="7"/>
  <c r="F21" i="7"/>
  <c r="G20" i="7"/>
  <c r="G21" i="7" s="1"/>
  <c r="F20" i="7"/>
  <c r="G12" i="7"/>
  <c r="G9" i="7"/>
  <c r="F9" i="7"/>
  <c r="G8" i="7"/>
  <c r="G10" i="7" s="1"/>
  <c r="G11" i="7" s="1"/>
  <c r="F8" i="7"/>
  <c r="F10" i="7" s="1"/>
  <c r="F11" i="7" s="1"/>
  <c r="D12" i="7"/>
  <c r="C12" i="7"/>
  <c r="I7" i="14"/>
  <c r="C10" i="14"/>
  <c r="D10" i="14"/>
  <c r="G19" i="14"/>
  <c r="G18" i="14"/>
  <c r="F18" i="14"/>
  <c r="F19" i="14" s="1"/>
  <c r="G10" i="14"/>
  <c r="G7" i="14"/>
  <c r="F7" i="14"/>
  <c r="G6" i="14"/>
  <c r="G8" i="14" s="1"/>
  <c r="G9" i="14" s="1"/>
  <c r="F6" i="14"/>
  <c r="F8" i="14" s="1"/>
  <c r="F9" i="14" s="1"/>
  <c r="J14" i="7" l="1"/>
  <c r="J15" i="7" s="1"/>
  <c r="J17" i="7" s="1"/>
  <c r="J19" i="7" s="1"/>
  <c r="J22" i="7" s="1"/>
  <c r="I12" i="7"/>
  <c r="I14" i="7"/>
  <c r="I15" i="7" s="1"/>
  <c r="I17" i="7" s="1"/>
  <c r="I18" i="7" s="1"/>
  <c r="G14" i="7"/>
  <c r="G15" i="7" s="1"/>
  <c r="G17" i="7" s="1"/>
  <c r="G19" i="7" s="1"/>
  <c r="G22" i="7" s="1"/>
  <c r="F14" i="7"/>
  <c r="F15" i="7" s="1"/>
  <c r="F17" i="7" s="1"/>
  <c r="F18" i="7" s="1"/>
  <c r="F19" i="7" s="1"/>
  <c r="F22" i="7" s="1"/>
  <c r="G12" i="14"/>
  <c r="G13" i="14" s="1"/>
  <c r="G15" i="14" s="1"/>
  <c r="G16" i="14" s="1"/>
  <c r="F12" i="14"/>
  <c r="F13" i="14" s="1"/>
  <c r="F15" i="14" s="1"/>
  <c r="F16" i="14" s="1"/>
  <c r="L6" i="7"/>
  <c r="I19" i="7" l="1"/>
  <c r="I22" i="7" s="1"/>
  <c r="F17" i="14"/>
  <c r="F20" i="14" s="1"/>
  <c r="G17" i="14"/>
  <c r="G20" i="14" s="1"/>
  <c r="C24" i="7"/>
  <c r="C8" i="17" l="1"/>
  <c r="C7" i="17"/>
  <c r="C18" i="17"/>
  <c r="C19" i="17" s="1"/>
  <c r="C7" i="14"/>
  <c r="C6" i="14"/>
  <c r="C18" i="14" l="1"/>
  <c r="C19" i="14" s="1"/>
  <c r="C8" i="14" l="1"/>
  <c r="C9" i="14" l="1"/>
  <c r="C12" i="14" s="1"/>
  <c r="C13" i="14" s="1"/>
  <c r="C15" i="14" s="1"/>
  <c r="C16" i="14" s="1"/>
  <c r="C17" i="14" l="1"/>
  <c r="C20" i="14" s="1"/>
  <c r="D18" i="14" l="1"/>
  <c r="D19" i="14" s="1"/>
  <c r="D7" i="14"/>
  <c r="D6" i="14"/>
  <c r="D20" i="7"/>
  <c r="D21" i="7" s="1"/>
  <c r="D9" i="7"/>
  <c r="D8" i="7"/>
  <c r="C20" i="7"/>
  <c r="C21" i="7" s="1"/>
  <c r="C9" i="7"/>
  <c r="C8" i="7"/>
  <c r="D8" i="14" l="1"/>
  <c r="D9" i="14" s="1"/>
  <c r="D10" i="7"/>
  <c r="D11" i="7" s="1"/>
  <c r="D14" i="7" s="1"/>
  <c r="D15" i="7" s="1"/>
  <c r="D17" i="7" s="1"/>
  <c r="C10" i="7"/>
  <c r="C11" i="7" s="1"/>
  <c r="C14" i="7" l="1"/>
  <c r="C15" i="7" s="1"/>
  <c r="C17" i="7" s="1"/>
  <c r="C18" i="7" s="1"/>
  <c r="C19" i="7" s="1"/>
  <c r="C22" i="7" s="1"/>
  <c r="D12" i="14"/>
  <c r="D13" i="14" s="1"/>
  <c r="D15" i="14" s="1"/>
  <c r="D19" i="7"/>
  <c r="D22" i="7" s="1"/>
  <c r="D16" i="14" l="1"/>
  <c r="D17" i="14" s="1"/>
  <c r="D20" i="14" s="1"/>
  <c r="C9" i="17" l="1"/>
  <c r="C10" i="17" s="1"/>
  <c r="C12" i="17" l="1"/>
  <c r="C13" i="17" s="1"/>
  <c r="C15" i="17" s="1"/>
  <c r="C16" i="17" s="1"/>
  <c r="C17" i="17" s="1"/>
  <c r="C20" i="17" s="1"/>
</calcChain>
</file>

<file path=xl/sharedStrings.xml><?xml version="1.0" encoding="utf-8"?>
<sst xmlns="http://schemas.openxmlformats.org/spreadsheetml/2006/main" count="116" uniqueCount="56">
  <si>
    <t>DOPRINOSI NA PLAĆU 17,2%</t>
  </si>
  <si>
    <t>NETO</t>
  </si>
  <si>
    <t>UKUPNI POREZ</t>
  </si>
  <si>
    <t>POREZ 36%</t>
  </si>
  <si>
    <t>POREZ 24%</t>
  </si>
  <si>
    <t>POREZNA OSNOVICA</t>
  </si>
  <si>
    <t>OSOBNI ODBITAK</t>
  </si>
  <si>
    <t>DOHODAK</t>
  </si>
  <si>
    <t>PRIREZ 18%</t>
  </si>
  <si>
    <t>15% od bruto iznosa</t>
  </si>
  <si>
    <t>5% od bruto iznosa</t>
  </si>
  <si>
    <t>dohodak - osobni odbitak</t>
  </si>
  <si>
    <t>24% na iznos do 17.500 kn porezne osnovice</t>
  </si>
  <si>
    <t>36% na iznos veći od 17.500 kn porezne osnovice</t>
  </si>
  <si>
    <t>18% od ukupnog poreza</t>
  </si>
  <si>
    <t>dohodak - ukupno porez - prirez</t>
  </si>
  <si>
    <t>17,2% na bruto</t>
  </si>
  <si>
    <t>udio neto u bruto 2</t>
  </si>
  <si>
    <t>MIROVINSKO OSIGURANJE ukupno</t>
  </si>
  <si>
    <t>bruto - ukupna izdvajanja za mirovinsko osiguranje</t>
  </si>
  <si>
    <t>1. MO + 2. MO</t>
  </si>
  <si>
    <t>1. MO 15%</t>
  </si>
  <si>
    <t>2. MO 5%</t>
  </si>
  <si>
    <t>BRUTO iznos</t>
  </si>
  <si>
    <t>bruto 2 + doprinosi na plaću</t>
  </si>
  <si>
    <t>Otac</t>
  </si>
  <si>
    <t>Majka</t>
  </si>
  <si>
    <t>15% od ukupnog poreza</t>
  </si>
  <si>
    <t>PRIREZ 15%</t>
  </si>
  <si>
    <t>NEISKORIŠTENI OSOBNI ODBITAK</t>
  </si>
  <si>
    <t>Ukupni trošak poslodavca (BRUTO 2)</t>
  </si>
  <si>
    <t>Majka Marija</t>
  </si>
  <si>
    <t>Otac Ivan</t>
  </si>
  <si>
    <t>Obračun plaće od 6.500,00 kn bruto do neto iznosa. Osoba nema djece, živi u Splitu, prirez 15%.</t>
  </si>
  <si>
    <t>najčešće rješenje: nije optimalno</t>
  </si>
  <si>
    <t>optimalno rješenje</t>
  </si>
  <si>
    <t>Stanje s jednim djetetom</t>
  </si>
  <si>
    <t>Osobni odbitak</t>
  </si>
  <si>
    <t>Koeficijent</t>
  </si>
  <si>
    <t>Iznos u kunama</t>
  </si>
  <si>
    <t>Uzdržavani član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</si>
  <si>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</si>
  <si>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</si>
  <si>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</si>
  <si>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</si>
  <si>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</si>
  <si>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</si>
  <si>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</si>
  <si>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</si>
  <si>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</si>
  <si>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Dvoje djece</t>
  </si>
  <si>
    <t>Postotak osobnog odbitka drugog djeteta koji je prebačen na majku</t>
  </si>
  <si>
    <t>Postotak osobnog odbitka djeteta koji je prebačen na oca Ivana</t>
  </si>
  <si>
    <t>Povećanje mjesečne neto plaće majke nakon optimalne razdiobe:</t>
  </si>
  <si>
    <t>Bračni par ima jedno dijete. Otac ima primanja 9.000,00 kn bruto i dijete prijavljeno na svojoj PK kartici (6.732,72 kn neto). Majka ima primanja 6.300,00 kn bruto (neto 4.742,40 kn). Dobili su drugo dijete. Kako napraviti optimalan raspored na PK karticama? Žive u Zagrebu (prirez 18%).</t>
  </si>
  <si>
    <t>Majka Marija ima 6.500,00 kn bruto primanja, a otac Ivan 6.000,00 bruto. Na čiju PK karticu prijaviti dijete Anu? Žive u Splitu.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</si>
</sst>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8FAAD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3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Fill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3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4" fontId="0" fillId="0" borderId="1" xfId="0" applyNumberFormat="1" applyFill="1" applyBorder="1"/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4" fontId="0" fillId="0" borderId="1" xfId="1" applyFont="1" applyFill="1" applyBorder="1"/>
    <xf numFmtId="44" fontId="2" fillId="0" borderId="0" xfId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44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wrapText="1"/>
    </xf>
    <xf numFmtId="10" fontId="0" fillId="0" borderId="0" xfId="2" applyNumberFormat="1" applyFont="1" applyFill="1"/>
    <xf numFmtId="0" fontId="2" fillId="0" borderId="3" xfId="0" applyFont="1" applyBorder="1" applyAlignment="1">
      <alignment horizontal="left" vertical="center"/>
    </xf>
    <xf numFmtId="0" fontId="0" fillId="0" borderId="2" xfId="0" applyBorder="1"/>
    <xf numFmtId="44" fontId="0" fillId="0" borderId="3" xfId="1" applyFont="1" applyFill="1" applyBorder="1"/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0" fontId="0" fillId="0" borderId="1" xfId="2" applyNumberFormat="1" applyFont="1" applyFill="1" applyBorder="1" applyAlignment="1">
      <alignment horizontal="center" vertical="center"/>
    </xf>
    <xf numFmtId="44" fontId="0" fillId="2" borderId="1" xfId="1" applyFont="1" applyFill="1" applyBorder="1"/>
    <xf numFmtId="9" fontId="0" fillId="0" borderId="0" xfId="2" applyFont="1"/>
    <xf numFmtId="0" fontId="2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44" fontId="0" fillId="3" borderId="1" xfId="1" applyFont="1" applyFill="1" applyBorder="1"/>
    <xf numFmtId="0" fontId="0" fillId="0" borderId="0" xfId="0" applyFont="1"/>
    <xf numFmtId="0" fontId="6" fillId="4" borderId="5" xfId="0" applyFont="1" applyFill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4" fontId="7" fillId="0" borderId="5" xfId="0" applyNumberFormat="1" applyFont="1" applyBorder="1" applyAlignment="1">
      <alignment horizontal="center" vertical="center" wrapText="1" readingOrder="1"/>
    </xf>
    <xf numFmtId="44" fontId="0" fillId="0" borderId="0" xfId="0" applyNumberFormat="1"/>
  </cellXfs>
  <cellStyles count="4">
    <cellStyle name="Hiperveza" xfId="3" builtinId="8"/>
    <cellStyle name="Normalno" xfId="0" builtinId="0"/>
    <cellStyle name="Postotak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</xdr:colOff>
      <xdr:row>20</xdr:row>
      <xdr:rowOff>129540</xdr:rowOff>
    </xdr:from>
    <xdr:to>
      <xdr:col>3</xdr:col>
      <xdr:colOff>1013460</xdr:colOff>
      <xdr:row>28</xdr:row>
      <xdr:rowOff>83820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3F5E7216-502D-487B-8051-E471BDEE7FA5}"/>
            </a:ext>
          </a:extLst>
        </xdr:cNvPr>
        <xdr:cNvSpPr txBox="1"/>
      </xdr:nvSpPr>
      <xdr:spPr>
        <a:xfrm>
          <a:off x="3078480" y="5440680"/>
          <a:ext cx="2004060" cy="1417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Dijete Ana je prijavljeno na PK kartici majke Marije. Majka Marija ima pravo na 3800+1750 kn=5550 kn osobnog odbitka, ali dohodak joj iznosi samo 5200 kn. Stoga nije iskoristila 350 kn odbitka.</a:t>
          </a:r>
        </a:p>
      </xdr:txBody>
    </xdr:sp>
    <xdr:clientData/>
  </xdr:twoCellAnchor>
  <xdr:twoCellAnchor>
    <xdr:from>
      <xdr:col>5</xdr:col>
      <xdr:colOff>7620</xdr:colOff>
      <xdr:row>20</xdr:row>
      <xdr:rowOff>99060</xdr:rowOff>
    </xdr:from>
    <xdr:to>
      <xdr:col>7</xdr:col>
      <xdr:colOff>243840</xdr:colOff>
      <xdr:row>27</xdr:row>
      <xdr:rowOff>121920</xdr:rowOff>
    </xdr:to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BEB42C4E-3BFD-47F2-A53A-74460530177E}"/>
            </a:ext>
          </a:extLst>
        </xdr:cNvPr>
        <xdr:cNvSpPr txBox="1"/>
      </xdr:nvSpPr>
      <xdr:spPr>
        <a:xfrm>
          <a:off x="5737860" y="5410200"/>
          <a:ext cx="2004060" cy="1303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Na</a:t>
          </a:r>
          <a:r>
            <a:rPr lang="hr-HR" sz="1100" baseline="0"/>
            <a:t> oca Ivana je prebačeno neiskorištenih 350 kn osobnog odbitka koje nije iskoristila majka Marija. Zato se ocu povećala mjesečna neto plaća za 96,60 kn.</a:t>
          </a:r>
          <a:endParaRPr lang="hr-H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</xdr:colOff>
      <xdr:row>9</xdr:row>
      <xdr:rowOff>266700</xdr:rowOff>
    </xdr:from>
    <xdr:to>
      <xdr:col>15</xdr:col>
      <xdr:colOff>480060</xdr:colOff>
      <xdr:row>14</xdr:row>
      <xdr:rowOff>144780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B8432C97-CE55-4B59-85FD-BD563A5ED898}"/>
            </a:ext>
          </a:extLst>
        </xdr:cNvPr>
        <xdr:cNvSpPr txBox="1"/>
      </xdr:nvSpPr>
      <xdr:spPr>
        <a:xfrm>
          <a:off x="10584180" y="2065020"/>
          <a:ext cx="2948940" cy="1341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U praksi se najčešće drugo</a:t>
          </a:r>
          <a:r>
            <a:rPr lang="hr-HR" sz="1100" baseline="0"/>
            <a:t> dijete (D2) prijavi na PK karticu roditelja koji ima više neiskorištenog osobnog odbitka (u ovom slučaju oca).</a:t>
          </a:r>
        </a:p>
        <a:p>
          <a:r>
            <a:rPr lang="hr-HR" sz="1100" baseline="0"/>
            <a:t>Ali tada otac nije iskoristio 850 kn od ukupno 2500 kn za drugo dijete. Optimalno rješenje je prebaciti tih 850 kn (34%) osobnog odbitka drugog djeteta na majku.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0AEA7-B608-4AD2-ABDC-3386733E76F4}">
  <dimension ref="A1:C41"/>
  <sheetViews>
    <sheetView tabSelected="1" workbookViewId="0">
      <selection activeCell="C12" sqref="C12"/>
    </sheetView>
  </sheetViews>
  <sheetFormatPr defaultRowHeight="14.4" x14ac:dyDescent="0.3"/>
  <cols>
    <col min="1" max="1" width="19.6640625" customWidth="1"/>
    <col min="2" max="2" width="25.77734375" customWidth="1"/>
    <col min="3" max="3" width="15.33203125" customWidth="1"/>
  </cols>
  <sheetData>
    <row r="1" spans="1:3" ht="14.4" customHeight="1" x14ac:dyDescent="0.3">
      <c r="A1" s="29" t="s">
        <v>33</v>
      </c>
      <c r="B1" s="29"/>
      <c r="C1" s="29"/>
    </row>
    <row r="2" spans="1:3" x14ac:dyDescent="0.3">
      <c r="A2" s="29"/>
      <c r="B2" s="29"/>
      <c r="C2" s="29"/>
    </row>
    <row r="3" spans="1:3" x14ac:dyDescent="0.3">
      <c r="A3" s="12"/>
      <c r="B3" s="12"/>
      <c r="C3" s="12"/>
    </row>
    <row r="4" spans="1:3" x14ac:dyDescent="0.3">
      <c r="A4" s="2"/>
      <c r="B4" s="2"/>
      <c r="C4" s="2"/>
    </row>
    <row r="5" spans="1:3" ht="15" thickBot="1" x14ac:dyDescent="0.35">
      <c r="A5" s="22"/>
      <c r="B5" s="22"/>
      <c r="C5" s="25"/>
    </row>
    <row r="6" spans="1:3" x14ac:dyDescent="0.3">
      <c r="A6" s="3" t="s">
        <v>23</v>
      </c>
      <c r="B6" s="21"/>
      <c r="C6" s="23">
        <v>6500</v>
      </c>
    </row>
    <row r="7" spans="1:3" x14ac:dyDescent="0.3">
      <c r="A7" s="4" t="s">
        <v>21</v>
      </c>
      <c r="B7" s="7" t="s">
        <v>9</v>
      </c>
      <c r="C7" s="13">
        <f>15%*C6</f>
        <v>975</v>
      </c>
    </row>
    <row r="8" spans="1:3" x14ac:dyDescent="0.3">
      <c r="A8" s="4" t="s">
        <v>22</v>
      </c>
      <c r="B8" s="7" t="s">
        <v>10</v>
      </c>
      <c r="C8" s="13">
        <f>5%*C6</f>
        <v>325</v>
      </c>
    </row>
    <row r="9" spans="1:3" ht="28.8" x14ac:dyDescent="0.3">
      <c r="A9" s="4" t="s">
        <v>18</v>
      </c>
      <c r="B9" s="6" t="s">
        <v>20</v>
      </c>
      <c r="C9" s="10">
        <f>SUM(C7:C8)</f>
        <v>1300</v>
      </c>
    </row>
    <row r="10" spans="1:3" ht="28.8" x14ac:dyDescent="0.3">
      <c r="A10" s="4" t="s">
        <v>7</v>
      </c>
      <c r="B10" s="7" t="s">
        <v>19</v>
      </c>
      <c r="C10" s="13">
        <f>C6-C9</f>
        <v>5200</v>
      </c>
    </row>
    <row r="11" spans="1:3" x14ac:dyDescent="0.3">
      <c r="A11" s="4" t="s">
        <v>6</v>
      </c>
      <c r="B11" s="8"/>
      <c r="C11" s="13">
        <v>3800</v>
      </c>
    </row>
    <row r="12" spans="1:3" x14ac:dyDescent="0.3">
      <c r="A12" s="4" t="s">
        <v>5</v>
      </c>
      <c r="B12" s="7" t="s">
        <v>11</v>
      </c>
      <c r="C12" s="13">
        <f>C10-C11</f>
        <v>1400</v>
      </c>
    </row>
    <row r="13" spans="1:3" ht="28.8" x14ac:dyDescent="0.3">
      <c r="A13" s="4" t="s">
        <v>4</v>
      </c>
      <c r="B13" s="7" t="s">
        <v>12</v>
      </c>
      <c r="C13" s="13">
        <f>24%*C12</f>
        <v>336</v>
      </c>
    </row>
    <row r="14" spans="1:3" ht="28.8" x14ac:dyDescent="0.3">
      <c r="A14" s="4" t="s">
        <v>3</v>
      </c>
      <c r="B14" s="7" t="s">
        <v>13</v>
      </c>
      <c r="C14" s="13">
        <v>0</v>
      </c>
    </row>
    <row r="15" spans="1:3" x14ac:dyDescent="0.3">
      <c r="A15" s="4" t="s">
        <v>2</v>
      </c>
      <c r="B15" s="6"/>
      <c r="C15" s="13">
        <f>C13</f>
        <v>336</v>
      </c>
    </row>
    <row r="16" spans="1:3" x14ac:dyDescent="0.3">
      <c r="A16" s="4" t="s">
        <v>28</v>
      </c>
      <c r="B16" s="7" t="s">
        <v>27</v>
      </c>
      <c r="C16" s="13">
        <f>15%*C15</f>
        <v>50.4</v>
      </c>
    </row>
    <row r="17" spans="1:3" ht="28.8" x14ac:dyDescent="0.3">
      <c r="A17" s="4" t="s">
        <v>1</v>
      </c>
      <c r="B17" s="7" t="s">
        <v>15</v>
      </c>
      <c r="C17" s="27">
        <f>C10-C16-C15</f>
        <v>4813.6000000000004</v>
      </c>
    </row>
    <row r="18" spans="1:3" ht="28.8" x14ac:dyDescent="0.3">
      <c r="A18" s="4" t="s">
        <v>0</v>
      </c>
      <c r="B18" s="7" t="s">
        <v>16</v>
      </c>
      <c r="C18" s="13">
        <f>17.2%*C6</f>
        <v>1118</v>
      </c>
    </row>
    <row r="19" spans="1:3" ht="28.8" x14ac:dyDescent="0.3">
      <c r="A19" s="4" t="s">
        <v>30</v>
      </c>
      <c r="B19" s="7" t="s">
        <v>24</v>
      </c>
      <c r="C19" s="13">
        <f>C18+C6</f>
        <v>7618</v>
      </c>
    </row>
    <row r="20" spans="1:3" x14ac:dyDescent="0.3">
      <c r="A20" s="11" t="s">
        <v>17</v>
      </c>
      <c r="B20" s="9"/>
      <c r="C20" s="26">
        <f>C17/C19</f>
        <v>0.63187188238382785</v>
      </c>
    </row>
    <row r="21" spans="1:3" x14ac:dyDescent="0.3">
      <c r="C21" s="1"/>
    </row>
    <row r="24" spans="1:3" x14ac:dyDescent="0.3">
      <c r="A24" s="5"/>
      <c r="B24" s="5"/>
      <c r="C24" s="5"/>
    </row>
    <row r="25" spans="1:3" x14ac:dyDescent="0.3">
      <c r="A25" s="5"/>
      <c r="B25" s="5"/>
      <c r="C25" s="14"/>
    </row>
    <row r="26" spans="1:3" x14ac:dyDescent="0.3">
      <c r="A26" s="15"/>
      <c r="B26" s="15"/>
      <c r="C26" s="16"/>
    </row>
    <row r="27" spans="1:3" x14ac:dyDescent="0.3">
      <c r="A27" s="15"/>
      <c r="B27" s="15"/>
      <c r="C27" s="17"/>
    </row>
    <row r="28" spans="1:3" x14ac:dyDescent="0.3">
      <c r="A28" s="15"/>
      <c r="B28" s="15"/>
      <c r="C28" s="17"/>
    </row>
    <row r="29" spans="1:3" x14ac:dyDescent="0.3">
      <c r="A29" s="15"/>
      <c r="B29" s="15"/>
      <c r="C29" s="17"/>
    </row>
    <row r="30" spans="1:3" x14ac:dyDescent="0.3">
      <c r="A30" s="15"/>
      <c r="B30" s="15"/>
      <c r="C30" s="18"/>
    </row>
    <row r="31" spans="1:3" x14ac:dyDescent="0.3">
      <c r="A31" s="19"/>
      <c r="B31" s="19"/>
      <c r="C31" s="16"/>
    </row>
    <row r="32" spans="1:3" x14ac:dyDescent="0.3">
      <c r="A32" s="15"/>
      <c r="B32" s="15"/>
      <c r="C32" s="17"/>
    </row>
    <row r="33" spans="1:3" x14ac:dyDescent="0.3">
      <c r="A33" s="15"/>
      <c r="B33" s="15"/>
      <c r="C33" s="14"/>
    </row>
    <row r="34" spans="1:3" x14ac:dyDescent="0.3">
      <c r="A34" s="15"/>
      <c r="B34" s="15"/>
      <c r="C34" s="17"/>
    </row>
    <row r="35" spans="1:3" x14ac:dyDescent="0.3">
      <c r="A35" s="15"/>
      <c r="B35" s="15"/>
      <c r="C35" s="17"/>
    </row>
    <row r="36" spans="1:3" x14ac:dyDescent="0.3">
      <c r="A36" s="15"/>
      <c r="B36" s="15"/>
      <c r="C36" s="17"/>
    </row>
    <row r="37" spans="1:3" x14ac:dyDescent="0.3">
      <c r="A37" s="15"/>
      <c r="B37" s="15"/>
      <c r="C37" s="17"/>
    </row>
    <row r="38" spans="1:3" x14ac:dyDescent="0.3">
      <c r="A38" s="15"/>
      <c r="B38" s="15"/>
      <c r="C38" s="17"/>
    </row>
    <row r="39" spans="1:3" x14ac:dyDescent="0.3">
      <c r="A39" s="15"/>
      <c r="B39" s="15"/>
      <c r="C39" s="17"/>
    </row>
    <row r="40" spans="1:3" x14ac:dyDescent="0.3">
      <c r="A40" s="15"/>
      <c r="B40" s="15"/>
      <c r="C40" s="5"/>
    </row>
    <row r="41" spans="1:3" x14ac:dyDescent="0.3">
      <c r="A41" s="5"/>
      <c r="B41" s="5"/>
      <c r="C41" s="20"/>
    </row>
  </sheetData>
  <mergeCells count="1">
    <mergeCell ref="A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BA8E8-CBE9-403D-93CC-E8BA73950511}">
  <dimension ref="B1:D12"/>
  <sheetViews>
    <sheetView workbookViewId="0">
      <selection activeCell="G7" sqref="G7"/>
    </sheetView>
  </sheetViews>
  <sheetFormatPr defaultColWidth="12" defaultRowHeight="14.4" x14ac:dyDescent="0.3"/>
  <cols>
    <col min="1" max="16384" width="12" style="32"/>
  </cols>
  <sheetData>
    <row r="1" spans="2:4" ht="15" thickBot="1" x14ac:dyDescent="0.35"/>
    <row r="2" spans="2:4" ht="29.4" thickBot="1" x14ac:dyDescent="0.35">
      <c r="B2" s="33" t="s">
        <v>37</v>
      </c>
      <c r="C2" s="33" t="s">
        <v>38</v>
      </c>
      <c r="D2" s="33" t="s">
        <v>39</v>
      </c>
    </row>
    <row r="3" spans="2:4" ht="29.4" thickBot="1" x14ac:dyDescent="0.35">
      <c r="B3" s="34" t="s">
        <v>40</v>
      </c>
      <c r="C3" s="34">
        <v>0.7</v>
      </c>
      <c r="D3" s="35">
        <v>1750</v>
      </c>
    </row>
    <row r="4" spans="2:4" ht="15" thickBot="1" x14ac:dyDescent="0.35">
      <c r="B4" s="34" t="s">
        <v>41</v>
      </c>
      <c r="C4" s="34">
        <v>0.7</v>
      </c>
      <c r="D4" s="35">
        <v>1750</v>
      </c>
    </row>
    <row r="5" spans="2:4" ht="15" thickBot="1" x14ac:dyDescent="0.35">
      <c r="B5" s="34" t="s">
        <v>42</v>
      </c>
      <c r="C5" s="34">
        <v>1</v>
      </c>
      <c r="D5" s="35">
        <v>2500</v>
      </c>
    </row>
    <row r="6" spans="2:4" ht="15" thickBot="1" x14ac:dyDescent="0.35">
      <c r="B6" s="34" t="s">
        <v>43</v>
      </c>
      <c r="C6" s="34">
        <v>1.4</v>
      </c>
      <c r="D6" s="35">
        <v>3500</v>
      </c>
    </row>
    <row r="7" spans="2:4" ht="15" thickBot="1" x14ac:dyDescent="0.35">
      <c r="B7" s="34" t="s">
        <v>44</v>
      </c>
      <c r="C7" s="34">
        <v>1.9</v>
      </c>
      <c r="D7" s="35">
        <v>4750</v>
      </c>
    </row>
    <row r="8" spans="2:4" ht="15" thickBot="1" x14ac:dyDescent="0.35">
      <c r="B8" s="34" t="s">
        <v>45</v>
      </c>
      <c r="C8" s="34">
        <v>2.5</v>
      </c>
      <c r="D8" s="35">
        <v>6250</v>
      </c>
    </row>
    <row r="9" spans="2:4" ht="15" thickBot="1" x14ac:dyDescent="0.35">
      <c r="B9" s="34" t="s">
        <v>46</v>
      </c>
      <c r="C9" s="34">
        <v>3.2</v>
      </c>
      <c r="D9" s="35">
        <v>8000</v>
      </c>
    </row>
    <row r="10" spans="2:4" ht="15" thickBot="1" x14ac:dyDescent="0.35">
      <c r="B10" s="34" t="s">
        <v>47</v>
      </c>
      <c r="C10" s="34">
        <v>4</v>
      </c>
      <c r="D10" s="35">
        <v>10000</v>
      </c>
    </row>
    <row r="11" spans="2:4" ht="15" thickBot="1" x14ac:dyDescent="0.35">
      <c r="B11" s="34" t="s">
        <v>48</v>
      </c>
      <c r="C11" s="34">
        <v>4.9000000000000004</v>
      </c>
      <c r="D11" s="35">
        <v>12250</v>
      </c>
    </row>
    <row r="12" spans="2:4" ht="15" thickBot="1" x14ac:dyDescent="0.35">
      <c r="B12" s="34" t="s">
        <v>49</v>
      </c>
      <c r="C12" s="34">
        <v>5.9</v>
      </c>
      <c r="D12" s="35">
        <v>14750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1"/>
  <sheetViews>
    <sheetView workbookViewId="0">
      <selection activeCell="B4" sqref="B4"/>
    </sheetView>
  </sheetViews>
  <sheetFormatPr defaultRowHeight="14.4" x14ac:dyDescent="0.3"/>
  <cols>
    <col min="1" max="1" width="19.6640625" customWidth="1"/>
    <col min="2" max="2" width="24.33203125" customWidth="1"/>
    <col min="3" max="4" width="15.33203125" customWidth="1"/>
    <col min="6" max="6" width="15.5546875" customWidth="1"/>
    <col min="7" max="7" width="15.109375" customWidth="1"/>
  </cols>
  <sheetData>
    <row r="1" spans="1:9" ht="14.4" customHeight="1" x14ac:dyDescent="0.3">
      <c r="A1" s="29" t="s">
        <v>55</v>
      </c>
      <c r="B1" s="29"/>
      <c r="C1" s="29"/>
      <c r="D1" s="29"/>
    </row>
    <row r="2" spans="1:9" x14ac:dyDescent="0.3">
      <c r="A2" s="29"/>
      <c r="B2" s="29"/>
      <c r="C2" s="29"/>
      <c r="D2" s="29"/>
    </row>
    <row r="3" spans="1:9" ht="28.8" customHeight="1" x14ac:dyDescent="0.3">
      <c r="A3" s="12"/>
      <c r="B3" s="12"/>
      <c r="C3" s="30" t="s">
        <v>34</v>
      </c>
      <c r="D3" s="30"/>
      <c r="F3" s="30" t="s">
        <v>35</v>
      </c>
      <c r="G3" s="30"/>
    </row>
    <row r="4" spans="1:9" ht="15" thickBot="1" x14ac:dyDescent="0.35">
      <c r="A4" s="22"/>
      <c r="B4" s="22"/>
      <c r="C4" s="25" t="s">
        <v>31</v>
      </c>
      <c r="D4" s="25" t="s">
        <v>32</v>
      </c>
      <c r="F4" s="25" t="s">
        <v>31</v>
      </c>
      <c r="G4" s="25" t="s">
        <v>32</v>
      </c>
    </row>
    <row r="5" spans="1:9" x14ac:dyDescent="0.3">
      <c r="A5" s="3" t="s">
        <v>23</v>
      </c>
      <c r="B5" s="21"/>
      <c r="C5" s="23">
        <v>6500</v>
      </c>
      <c r="D5" s="23">
        <v>6000</v>
      </c>
      <c r="F5" s="23">
        <v>6500</v>
      </c>
      <c r="G5" s="23">
        <v>6000</v>
      </c>
    </row>
    <row r="6" spans="1:9" x14ac:dyDescent="0.3">
      <c r="A6" s="4" t="s">
        <v>21</v>
      </c>
      <c r="B6" s="7" t="s">
        <v>9</v>
      </c>
      <c r="C6" s="13">
        <f>15%*C5</f>
        <v>975</v>
      </c>
      <c r="D6" s="13">
        <f>D5*0.15</f>
        <v>900</v>
      </c>
      <c r="F6" s="13">
        <f>15%*F5</f>
        <v>975</v>
      </c>
      <c r="G6" s="13">
        <f>G5*0.15</f>
        <v>900</v>
      </c>
      <c r="I6" t="s">
        <v>52</v>
      </c>
    </row>
    <row r="7" spans="1:9" x14ac:dyDescent="0.3">
      <c r="A7" s="4" t="s">
        <v>22</v>
      </c>
      <c r="B7" s="7" t="s">
        <v>10</v>
      </c>
      <c r="C7" s="13">
        <f>5%*C5</f>
        <v>325</v>
      </c>
      <c r="D7" s="13">
        <f>D5*0.05</f>
        <v>300</v>
      </c>
      <c r="F7" s="13">
        <f>5%*F5</f>
        <v>325</v>
      </c>
      <c r="G7" s="13">
        <f>G5*0.05</f>
        <v>300</v>
      </c>
      <c r="I7" s="28">
        <f>350/1750</f>
        <v>0.2</v>
      </c>
    </row>
    <row r="8" spans="1:9" ht="28.8" x14ac:dyDescent="0.3">
      <c r="A8" s="4" t="s">
        <v>18</v>
      </c>
      <c r="B8" s="6" t="s">
        <v>20</v>
      </c>
      <c r="C8" s="10">
        <f>SUM(C6:C7)</f>
        <v>1300</v>
      </c>
      <c r="D8" s="10">
        <f>SUM(D6:D7)</f>
        <v>1200</v>
      </c>
      <c r="F8" s="10">
        <f>SUM(F6:F7)</f>
        <v>1300</v>
      </c>
      <c r="G8" s="10">
        <f>SUM(G6:G7)</f>
        <v>1200</v>
      </c>
    </row>
    <row r="9" spans="1:9" ht="28.8" x14ac:dyDescent="0.3">
      <c r="A9" s="4" t="s">
        <v>7</v>
      </c>
      <c r="B9" s="7" t="s">
        <v>19</v>
      </c>
      <c r="C9" s="13">
        <f>C5-C8</f>
        <v>5200</v>
      </c>
      <c r="D9" s="13">
        <f>D5-D8</f>
        <v>4800</v>
      </c>
      <c r="F9" s="13">
        <f>F5-F8</f>
        <v>5200</v>
      </c>
      <c r="G9" s="13">
        <f>G5-G8</f>
        <v>4800</v>
      </c>
    </row>
    <row r="10" spans="1:9" x14ac:dyDescent="0.3">
      <c r="A10" s="4" t="s">
        <v>6</v>
      </c>
      <c r="B10" s="8"/>
      <c r="C10" s="13">
        <f>MIN(C9,3800+1750)</f>
        <v>5200</v>
      </c>
      <c r="D10" s="31">
        <f>3800</f>
        <v>3800</v>
      </c>
      <c r="F10" s="13">
        <v>5200</v>
      </c>
      <c r="G10" s="31">
        <f>3800+350</f>
        <v>4150</v>
      </c>
    </row>
    <row r="11" spans="1:9" ht="28.8" x14ac:dyDescent="0.3">
      <c r="A11" s="4" t="s">
        <v>29</v>
      </c>
      <c r="B11" s="8"/>
      <c r="C11" s="13">
        <v>350</v>
      </c>
      <c r="D11" s="13"/>
      <c r="F11" s="13">
        <v>0</v>
      </c>
      <c r="G11" s="13"/>
    </row>
    <row r="12" spans="1:9" x14ac:dyDescent="0.3">
      <c r="A12" s="4" t="s">
        <v>5</v>
      </c>
      <c r="B12" s="7" t="s">
        <v>11</v>
      </c>
      <c r="C12" s="13">
        <f>C9-C10</f>
        <v>0</v>
      </c>
      <c r="D12" s="13">
        <f>MAX(0,D9-D10)</f>
        <v>1000</v>
      </c>
      <c r="F12" s="13">
        <f>F9-F10</f>
        <v>0</v>
      </c>
      <c r="G12" s="13">
        <f>MAX(0,G9-G10)</f>
        <v>650</v>
      </c>
    </row>
    <row r="13" spans="1:9" ht="28.8" x14ac:dyDescent="0.3">
      <c r="A13" s="4" t="s">
        <v>4</v>
      </c>
      <c r="B13" s="7" t="s">
        <v>12</v>
      </c>
      <c r="C13" s="13">
        <f>24%*C12</f>
        <v>0</v>
      </c>
      <c r="D13" s="13">
        <f>24%*D12</f>
        <v>240</v>
      </c>
      <c r="F13" s="13">
        <f>24%*F12</f>
        <v>0</v>
      </c>
      <c r="G13" s="13">
        <f>24%*G12</f>
        <v>156</v>
      </c>
    </row>
    <row r="14" spans="1:9" ht="28.8" x14ac:dyDescent="0.3">
      <c r="A14" s="4" t="s">
        <v>3</v>
      </c>
      <c r="B14" s="7" t="s">
        <v>13</v>
      </c>
      <c r="C14" s="13">
        <v>0</v>
      </c>
      <c r="D14" s="13">
        <v>0</v>
      </c>
      <c r="F14" s="13">
        <v>0</v>
      </c>
      <c r="G14" s="13">
        <v>0</v>
      </c>
    </row>
    <row r="15" spans="1:9" x14ac:dyDescent="0.3">
      <c r="A15" s="4" t="s">
        <v>2</v>
      </c>
      <c r="B15" s="6"/>
      <c r="C15" s="13">
        <f>C13</f>
        <v>0</v>
      </c>
      <c r="D15" s="13">
        <f>D13</f>
        <v>240</v>
      </c>
      <c r="F15" s="13">
        <f>F13</f>
        <v>0</v>
      </c>
      <c r="G15" s="13">
        <f>G13</f>
        <v>156</v>
      </c>
    </row>
    <row r="16" spans="1:9" x14ac:dyDescent="0.3">
      <c r="A16" s="4" t="s">
        <v>28</v>
      </c>
      <c r="B16" s="7" t="s">
        <v>27</v>
      </c>
      <c r="C16" s="13">
        <f>15%*C15</f>
        <v>0</v>
      </c>
      <c r="D16" s="13">
        <f>15%*D15</f>
        <v>36</v>
      </c>
      <c r="F16" s="13">
        <f>15%*F15</f>
        <v>0</v>
      </c>
      <c r="G16" s="13">
        <f>15%*G15</f>
        <v>23.4</v>
      </c>
    </row>
    <row r="17" spans="1:7" ht="28.8" x14ac:dyDescent="0.3">
      <c r="A17" s="4" t="s">
        <v>1</v>
      </c>
      <c r="B17" s="7" t="s">
        <v>15</v>
      </c>
      <c r="C17" s="27">
        <f>C9-C15-C16</f>
        <v>5200</v>
      </c>
      <c r="D17" s="27">
        <f>D9-D15-D16</f>
        <v>4524</v>
      </c>
      <c r="F17" s="27">
        <f>F9-F15-F16</f>
        <v>5200</v>
      </c>
      <c r="G17" s="27">
        <f>G9-G15-G16</f>
        <v>4620.6000000000004</v>
      </c>
    </row>
    <row r="18" spans="1:7" ht="28.8" x14ac:dyDescent="0.3">
      <c r="A18" s="4" t="s">
        <v>0</v>
      </c>
      <c r="B18" s="7" t="s">
        <v>16</v>
      </c>
      <c r="C18" s="13">
        <f>C5*0.172</f>
        <v>1118</v>
      </c>
      <c r="D18" s="13">
        <f>D5*0.172</f>
        <v>1032</v>
      </c>
      <c r="F18" s="13">
        <f>F5*0.172</f>
        <v>1118</v>
      </c>
      <c r="G18" s="13">
        <f>G5*0.172</f>
        <v>1032</v>
      </c>
    </row>
    <row r="19" spans="1:7" ht="28.8" x14ac:dyDescent="0.3">
      <c r="A19" s="4" t="s">
        <v>30</v>
      </c>
      <c r="B19" s="7" t="s">
        <v>24</v>
      </c>
      <c r="C19" s="13">
        <f>C18+C5</f>
        <v>7618</v>
      </c>
      <c r="D19" s="13">
        <f>D18+D5</f>
        <v>7032</v>
      </c>
      <c r="F19" s="13">
        <f>F18+F5</f>
        <v>7618</v>
      </c>
      <c r="G19" s="13">
        <f>G18+G5</f>
        <v>7032</v>
      </c>
    </row>
    <row r="20" spans="1:7" x14ac:dyDescent="0.3">
      <c r="A20" s="11" t="s">
        <v>17</v>
      </c>
      <c r="B20" s="9"/>
      <c r="C20" s="26">
        <f>C17/C19</f>
        <v>0.68259385665529015</v>
      </c>
      <c r="D20" s="26">
        <f>D17/D19</f>
        <v>0.64334470989761094</v>
      </c>
      <c r="F20" s="26">
        <f>F17/F19</f>
        <v>0.68259385665529015</v>
      </c>
      <c r="G20" s="26">
        <f>G17/G19</f>
        <v>0.65708191126279869</v>
      </c>
    </row>
    <row r="21" spans="1:7" x14ac:dyDescent="0.3">
      <c r="C21" s="1"/>
      <c r="D21" s="1"/>
    </row>
    <row r="24" spans="1:7" x14ac:dyDescent="0.3">
      <c r="A24" s="5"/>
      <c r="B24" s="5"/>
      <c r="C24" s="5"/>
      <c r="D24" s="5"/>
    </row>
    <row r="25" spans="1:7" x14ac:dyDescent="0.3">
      <c r="A25" s="5"/>
      <c r="B25" s="5"/>
      <c r="C25" s="14"/>
      <c r="D25" s="14"/>
    </row>
    <row r="26" spans="1:7" x14ac:dyDescent="0.3">
      <c r="A26" s="15"/>
      <c r="B26" s="15"/>
      <c r="C26" s="16"/>
      <c r="D26" s="16"/>
    </row>
    <row r="27" spans="1:7" x14ac:dyDescent="0.3">
      <c r="A27" s="15"/>
      <c r="B27" s="15"/>
      <c r="C27" s="17"/>
      <c r="D27" s="17"/>
    </row>
    <row r="28" spans="1:7" x14ac:dyDescent="0.3">
      <c r="A28" s="15"/>
      <c r="B28" s="15"/>
      <c r="C28" s="17"/>
      <c r="D28" s="17"/>
    </row>
    <row r="29" spans="1:7" x14ac:dyDescent="0.3">
      <c r="A29" s="15"/>
      <c r="B29" s="15"/>
      <c r="C29" s="17"/>
      <c r="D29" s="17"/>
    </row>
    <row r="30" spans="1:7" x14ac:dyDescent="0.3">
      <c r="A30" s="15"/>
      <c r="B30" s="15"/>
      <c r="C30" s="18"/>
      <c r="D30" s="18"/>
    </row>
    <row r="31" spans="1:7" x14ac:dyDescent="0.3">
      <c r="A31" s="19"/>
      <c r="B31" s="19"/>
      <c r="C31" s="16"/>
      <c r="D31" s="16"/>
    </row>
    <row r="32" spans="1:7" x14ac:dyDescent="0.3">
      <c r="A32" s="15"/>
      <c r="B32" s="15"/>
      <c r="C32" s="17"/>
      <c r="D32" s="17"/>
    </row>
    <row r="33" spans="1:4" x14ac:dyDescent="0.3">
      <c r="A33" s="15"/>
      <c r="B33" s="15"/>
      <c r="C33" s="14"/>
      <c r="D33" s="14"/>
    </row>
    <row r="34" spans="1:4" x14ac:dyDescent="0.3">
      <c r="A34" s="15"/>
      <c r="B34" s="15"/>
      <c r="C34" s="17"/>
      <c r="D34" s="17"/>
    </row>
    <row r="35" spans="1:4" x14ac:dyDescent="0.3">
      <c r="A35" s="15"/>
      <c r="B35" s="15"/>
      <c r="C35" s="17"/>
      <c r="D35" s="17"/>
    </row>
    <row r="36" spans="1:4" x14ac:dyDescent="0.3">
      <c r="A36" s="15"/>
      <c r="B36" s="15"/>
      <c r="C36" s="17"/>
      <c r="D36" s="17"/>
    </row>
    <row r="37" spans="1:4" x14ac:dyDescent="0.3">
      <c r="A37" s="15"/>
      <c r="B37" s="15"/>
      <c r="C37" s="17"/>
      <c r="D37" s="17"/>
    </row>
    <row r="38" spans="1:4" x14ac:dyDescent="0.3">
      <c r="A38" s="15"/>
      <c r="B38" s="15"/>
      <c r="C38" s="17"/>
      <c r="D38" s="17"/>
    </row>
    <row r="39" spans="1:4" x14ac:dyDescent="0.3">
      <c r="A39" s="15"/>
      <c r="B39" s="15"/>
      <c r="C39" s="17"/>
      <c r="D39" s="17"/>
    </row>
    <row r="40" spans="1:4" x14ac:dyDescent="0.3">
      <c r="A40" s="15"/>
      <c r="B40" s="15"/>
      <c r="C40" s="5"/>
      <c r="D40" s="5"/>
    </row>
    <row r="41" spans="1:4" x14ac:dyDescent="0.3">
      <c r="A41" s="5"/>
      <c r="B41" s="5"/>
      <c r="C41" s="20"/>
      <c r="D41" s="20"/>
    </row>
  </sheetData>
  <mergeCells count="3">
    <mergeCell ref="A1:D2"/>
    <mergeCell ref="C3:D3"/>
    <mergeCell ref="F3:G3"/>
  </mergeCells>
  <pageMargins left="0.7" right="0.7" top="0.75" bottom="0.75" header="0.3" footer="0.3"/>
  <pageSetup paperSize="9" orientation="portrait" horizontalDpi="4294967294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4"/>
  <sheetViews>
    <sheetView workbookViewId="0">
      <selection activeCell="L10" sqref="L10"/>
    </sheetView>
  </sheetViews>
  <sheetFormatPr defaultRowHeight="14.4" x14ac:dyDescent="0.3"/>
  <cols>
    <col min="1" max="1" width="19.6640625" customWidth="1"/>
    <col min="2" max="2" width="22.33203125" customWidth="1"/>
    <col min="3" max="5" width="13.33203125" bestFit="1" customWidth="1"/>
    <col min="6" max="6" width="13.33203125" customWidth="1"/>
    <col min="7" max="7" width="13.6640625" customWidth="1"/>
    <col min="9" max="9" width="13.33203125" customWidth="1"/>
    <col min="10" max="10" width="13.44140625" customWidth="1"/>
    <col min="12" max="12" width="10.109375" bestFit="1" customWidth="1"/>
  </cols>
  <sheetData>
    <row r="1" spans="1:12" x14ac:dyDescent="0.3">
      <c r="A1" s="29" t="s">
        <v>54</v>
      </c>
      <c r="B1" s="29"/>
      <c r="C1" s="29"/>
      <c r="D1" s="29"/>
      <c r="E1" s="29"/>
    </row>
    <row r="2" spans="1:12" x14ac:dyDescent="0.3">
      <c r="A2" s="29"/>
      <c r="B2" s="29"/>
      <c r="C2" s="29"/>
      <c r="D2" s="29"/>
      <c r="E2" s="29"/>
    </row>
    <row r="3" spans="1:12" ht="25.8" customHeight="1" x14ac:dyDescent="0.3">
      <c r="A3" s="29"/>
      <c r="B3" s="29"/>
      <c r="C3" s="29"/>
      <c r="D3" s="29"/>
      <c r="E3" s="29"/>
    </row>
    <row r="4" spans="1:12" x14ac:dyDescent="0.3">
      <c r="F4" t="s">
        <v>50</v>
      </c>
      <c r="I4" t="s">
        <v>50</v>
      </c>
    </row>
    <row r="5" spans="1:12" x14ac:dyDescent="0.3">
      <c r="C5" t="s">
        <v>36</v>
      </c>
      <c r="F5" t="s">
        <v>34</v>
      </c>
      <c r="I5" t="s">
        <v>35</v>
      </c>
      <c r="L5" t="s">
        <v>51</v>
      </c>
    </row>
    <row r="6" spans="1:12" ht="15" thickBot="1" x14ac:dyDescent="0.35">
      <c r="A6" s="22"/>
      <c r="B6" s="22"/>
      <c r="C6" s="24" t="s">
        <v>25</v>
      </c>
      <c r="D6" s="24" t="s">
        <v>26</v>
      </c>
      <c r="F6" s="24" t="s">
        <v>25</v>
      </c>
      <c r="G6" s="24" t="s">
        <v>26</v>
      </c>
      <c r="I6" s="24" t="s">
        <v>25</v>
      </c>
      <c r="J6" s="24" t="s">
        <v>26</v>
      </c>
      <c r="L6" s="28">
        <f>850/2500</f>
        <v>0.34</v>
      </c>
    </row>
    <row r="7" spans="1:12" x14ac:dyDescent="0.3">
      <c r="A7" s="3" t="s">
        <v>23</v>
      </c>
      <c r="B7" s="21"/>
      <c r="C7" s="23">
        <v>9000</v>
      </c>
      <c r="D7" s="23">
        <v>6300</v>
      </c>
      <c r="F7" s="23">
        <v>9000</v>
      </c>
      <c r="G7" s="23">
        <v>6300</v>
      </c>
      <c r="I7" s="23">
        <v>9000</v>
      </c>
      <c r="J7" s="23">
        <v>6300</v>
      </c>
    </row>
    <row r="8" spans="1:12" x14ac:dyDescent="0.3">
      <c r="A8" s="4" t="s">
        <v>21</v>
      </c>
      <c r="B8" s="7" t="s">
        <v>9</v>
      </c>
      <c r="C8" s="13">
        <f>C7*0.15</f>
        <v>1350</v>
      </c>
      <c r="D8" s="13">
        <f>D7*0.15</f>
        <v>945</v>
      </c>
      <c r="F8" s="13">
        <f>F7*0.15</f>
        <v>1350</v>
      </c>
      <c r="G8" s="13">
        <f>G7*0.15</f>
        <v>945</v>
      </c>
      <c r="I8" s="13">
        <f>I7*0.15</f>
        <v>1350</v>
      </c>
      <c r="J8" s="13">
        <f>J7*0.15</f>
        <v>945</v>
      </c>
      <c r="L8" t="s">
        <v>53</v>
      </c>
    </row>
    <row r="9" spans="1:12" x14ac:dyDescent="0.3">
      <c r="A9" s="4" t="s">
        <v>22</v>
      </c>
      <c r="B9" s="7" t="s">
        <v>10</v>
      </c>
      <c r="C9" s="13">
        <f>C7*0.05</f>
        <v>450</v>
      </c>
      <c r="D9" s="13">
        <f>D7*0.05</f>
        <v>315</v>
      </c>
      <c r="F9" s="13">
        <f>F7*0.05</f>
        <v>450</v>
      </c>
      <c r="G9" s="13">
        <f>G7*0.05</f>
        <v>315</v>
      </c>
      <c r="I9" s="13">
        <f>I7*0.05</f>
        <v>450</v>
      </c>
      <c r="J9" s="13">
        <f>J7*0.05</f>
        <v>315</v>
      </c>
      <c r="L9" s="36">
        <f>J19-G19</f>
        <v>204</v>
      </c>
    </row>
    <row r="10" spans="1:12" ht="28.8" x14ac:dyDescent="0.3">
      <c r="A10" s="4" t="s">
        <v>18</v>
      </c>
      <c r="B10" s="6" t="s">
        <v>20</v>
      </c>
      <c r="C10" s="10">
        <f>SUM(C8:C9)</f>
        <v>1800</v>
      </c>
      <c r="D10" s="10">
        <f>SUM(D8:D9)</f>
        <v>1260</v>
      </c>
      <c r="F10" s="10">
        <f>SUM(F8:F9)</f>
        <v>1800</v>
      </c>
      <c r="G10" s="10">
        <f>SUM(G8:G9)</f>
        <v>1260</v>
      </c>
      <c r="I10" s="10">
        <f>SUM(I8:I9)</f>
        <v>1800</v>
      </c>
      <c r="J10" s="10">
        <f>SUM(J8:J9)</f>
        <v>1260</v>
      </c>
    </row>
    <row r="11" spans="1:12" ht="28.8" x14ac:dyDescent="0.3">
      <c r="A11" s="4" t="s">
        <v>7</v>
      </c>
      <c r="B11" s="7" t="s">
        <v>19</v>
      </c>
      <c r="C11" s="13">
        <f>C7-C10</f>
        <v>7200</v>
      </c>
      <c r="D11" s="13">
        <f>D7-D10</f>
        <v>5040</v>
      </c>
      <c r="F11" s="13">
        <f>F7-F10</f>
        <v>7200</v>
      </c>
      <c r="G11" s="13">
        <f>G7-G10</f>
        <v>5040</v>
      </c>
      <c r="I11" s="13">
        <f>I7-I10</f>
        <v>7200</v>
      </c>
      <c r="J11" s="13">
        <f>J7-J10</f>
        <v>5040</v>
      </c>
    </row>
    <row r="12" spans="1:12" x14ac:dyDescent="0.3">
      <c r="A12" s="4" t="s">
        <v>6</v>
      </c>
      <c r="B12" s="8"/>
      <c r="C12" s="13">
        <f>3800+1750</f>
        <v>5550</v>
      </c>
      <c r="D12" s="13">
        <f>3800</f>
        <v>3800</v>
      </c>
      <c r="F12" s="13">
        <f>MIN(3800+1750+2500,F11)</f>
        <v>7200</v>
      </c>
      <c r="G12" s="13">
        <f>3800</f>
        <v>3800</v>
      </c>
      <c r="I12" s="13">
        <f>MIN(3800+1750+2500,I11)</f>
        <v>7200</v>
      </c>
      <c r="J12" s="13">
        <f>3800+850</f>
        <v>4650</v>
      </c>
    </row>
    <row r="13" spans="1:12" ht="28.8" x14ac:dyDescent="0.3">
      <c r="A13" s="4" t="s">
        <v>29</v>
      </c>
      <c r="B13" s="8"/>
      <c r="C13" s="13"/>
      <c r="D13" s="13"/>
      <c r="F13" s="13">
        <f>850</f>
        <v>850</v>
      </c>
      <c r="G13" s="13"/>
      <c r="I13" s="13">
        <v>0</v>
      </c>
      <c r="J13" s="13"/>
    </row>
    <row r="14" spans="1:12" x14ac:dyDescent="0.3">
      <c r="A14" s="4" t="s">
        <v>5</v>
      </c>
      <c r="B14" s="7" t="s">
        <v>11</v>
      </c>
      <c r="C14" s="13">
        <f>C11-C12</f>
        <v>1650</v>
      </c>
      <c r="D14" s="13">
        <f>MAX(0,D11-D12)</f>
        <v>1240</v>
      </c>
      <c r="F14" s="13">
        <f>F11-F12</f>
        <v>0</v>
      </c>
      <c r="G14" s="13">
        <f>MAX(0,G11-G12)</f>
        <v>1240</v>
      </c>
      <c r="I14" s="13">
        <f>I11-I12</f>
        <v>0</v>
      </c>
      <c r="J14" s="13">
        <f>MAX(0,J11-J12)</f>
        <v>390</v>
      </c>
    </row>
    <row r="15" spans="1:12" ht="28.8" x14ac:dyDescent="0.3">
      <c r="A15" s="4" t="s">
        <v>4</v>
      </c>
      <c r="B15" s="7" t="s">
        <v>12</v>
      </c>
      <c r="C15" s="13">
        <f>C14*0.24</f>
        <v>396</v>
      </c>
      <c r="D15" s="13">
        <f>D14*0.24</f>
        <v>297.59999999999997</v>
      </c>
      <c r="F15" s="13">
        <f>F14*0.24</f>
        <v>0</v>
      </c>
      <c r="G15" s="13">
        <f>G14*0.24</f>
        <v>297.59999999999997</v>
      </c>
      <c r="I15" s="13">
        <f>I14*0.24</f>
        <v>0</v>
      </c>
      <c r="J15" s="13">
        <f>J14*0.24</f>
        <v>93.6</v>
      </c>
    </row>
    <row r="16" spans="1:12" ht="43.2" x14ac:dyDescent="0.3">
      <c r="A16" s="4" t="s">
        <v>3</v>
      </c>
      <c r="B16" s="7" t="s">
        <v>13</v>
      </c>
      <c r="C16" s="13">
        <v>0</v>
      </c>
      <c r="D16" s="13">
        <v>0</v>
      </c>
      <c r="F16" s="13">
        <v>0</v>
      </c>
      <c r="G16" s="13">
        <v>0</v>
      </c>
      <c r="I16" s="13">
        <v>0</v>
      </c>
      <c r="J16" s="13">
        <v>0</v>
      </c>
    </row>
    <row r="17" spans="1:10" x14ac:dyDescent="0.3">
      <c r="A17" s="4" t="s">
        <v>2</v>
      </c>
      <c r="B17" s="6"/>
      <c r="C17" s="13">
        <f>SUM(C15:C16)</f>
        <v>396</v>
      </c>
      <c r="D17" s="13">
        <f>SUM(D15:D16)</f>
        <v>297.59999999999997</v>
      </c>
      <c r="F17" s="13">
        <f>SUM(F15:F16)</f>
        <v>0</v>
      </c>
      <c r="G17" s="13">
        <f>SUM(G15:G16)</f>
        <v>297.59999999999997</v>
      </c>
      <c r="I17" s="13">
        <f>SUM(I15:I16)</f>
        <v>0</v>
      </c>
      <c r="J17" s="13">
        <f>SUM(J15:J16)</f>
        <v>93.6</v>
      </c>
    </row>
    <row r="18" spans="1:10" x14ac:dyDescent="0.3">
      <c r="A18" s="4" t="s">
        <v>8</v>
      </c>
      <c r="B18" s="7" t="s">
        <v>14</v>
      </c>
      <c r="C18" s="13">
        <f>C17*18%</f>
        <v>71.28</v>
      </c>
      <c r="D18" s="13"/>
      <c r="F18" s="13">
        <f>F17*18%</f>
        <v>0</v>
      </c>
      <c r="G18" s="13"/>
      <c r="I18" s="13">
        <f>I17*18%</f>
        <v>0</v>
      </c>
      <c r="J18" s="13"/>
    </row>
    <row r="19" spans="1:10" ht="28.8" x14ac:dyDescent="0.3">
      <c r="A19" s="4" t="s">
        <v>1</v>
      </c>
      <c r="B19" s="7" t="s">
        <v>15</v>
      </c>
      <c r="C19" s="27">
        <f>C11-C17-C18</f>
        <v>6732.72</v>
      </c>
      <c r="D19" s="27">
        <f>D11-D17-D18</f>
        <v>4742.3999999999996</v>
      </c>
      <c r="F19" s="27">
        <f>F11-F17-F18</f>
        <v>7200</v>
      </c>
      <c r="G19" s="27">
        <f>G11-G17-G18</f>
        <v>4742.3999999999996</v>
      </c>
      <c r="I19" s="27">
        <f>I11-I17-I18</f>
        <v>7200</v>
      </c>
      <c r="J19" s="27">
        <f>J11-J17-J18</f>
        <v>4946.3999999999996</v>
      </c>
    </row>
    <row r="20" spans="1:10" ht="28.8" x14ac:dyDescent="0.3">
      <c r="A20" s="4" t="s">
        <v>0</v>
      </c>
      <c r="B20" s="7" t="s">
        <v>16</v>
      </c>
      <c r="C20" s="13">
        <f>C7*0.172</f>
        <v>1547.9999999999998</v>
      </c>
      <c r="D20" s="13">
        <f>D7*0.172</f>
        <v>1083.5999999999999</v>
      </c>
      <c r="F20" s="13">
        <f>F7*0.172</f>
        <v>1547.9999999999998</v>
      </c>
      <c r="G20" s="13">
        <f>G7*0.172</f>
        <v>1083.5999999999999</v>
      </c>
      <c r="I20" s="13">
        <f>I7*0.172</f>
        <v>1547.9999999999998</v>
      </c>
      <c r="J20" s="13">
        <f>J7*0.172</f>
        <v>1083.5999999999999</v>
      </c>
    </row>
    <row r="21" spans="1:10" ht="28.8" x14ac:dyDescent="0.3">
      <c r="A21" s="4" t="s">
        <v>30</v>
      </c>
      <c r="B21" s="7" t="s">
        <v>24</v>
      </c>
      <c r="C21" s="13">
        <f>C20+C7</f>
        <v>10548</v>
      </c>
      <c r="D21" s="13">
        <f>D20+D7</f>
        <v>7383.6</v>
      </c>
      <c r="F21" s="13">
        <f>F20+F7</f>
        <v>10548</v>
      </c>
      <c r="G21" s="13">
        <f>G20+G7</f>
        <v>7383.6</v>
      </c>
      <c r="I21" s="13">
        <f>I20+I7</f>
        <v>10548</v>
      </c>
      <c r="J21" s="13">
        <f>J20+J7</f>
        <v>7383.6</v>
      </c>
    </row>
    <row r="22" spans="1:10" x14ac:dyDescent="0.3">
      <c r="A22" s="11" t="s">
        <v>17</v>
      </c>
      <c r="B22" s="9"/>
      <c r="C22" s="26">
        <f>C19/C21</f>
        <v>0.63829351535836176</v>
      </c>
      <c r="D22" s="26">
        <f>D19/D21</f>
        <v>0.64228831464326341</v>
      </c>
      <c r="F22" s="26">
        <f>F19/F21</f>
        <v>0.68259385665529015</v>
      </c>
      <c r="G22" s="26">
        <f>G19/G21</f>
        <v>0.64228831464326341</v>
      </c>
      <c r="I22" s="26">
        <f>I19/I21</f>
        <v>0.68259385665529015</v>
      </c>
      <c r="J22" s="26">
        <f>J19/J21</f>
        <v>0.66991711360312034</v>
      </c>
    </row>
    <row r="24" spans="1:10" x14ac:dyDescent="0.3">
      <c r="C24">
        <f>850/2500</f>
        <v>0.34</v>
      </c>
    </row>
  </sheetData>
  <mergeCells count="1">
    <mergeCell ref="A1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zad 1a</vt:lpstr>
      <vt:lpstr>tablica osobnih odbitaka</vt:lpstr>
      <vt:lpstr>zad 1b</vt:lpstr>
      <vt:lpstr>zad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Zunic</dc:creator>
  <cp:lastModifiedBy>Toni Milun</cp:lastModifiedBy>
  <dcterms:created xsi:type="dcterms:W3CDTF">2018-04-09T13:30:18Z</dcterms:created>
  <dcterms:modified xsi:type="dcterms:W3CDTF">2018-07-08T07:15:33Z</dcterms:modified>
</cp:coreProperties>
</file>